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tabRatio="787" firstSheet="17" activeTab="20"/>
  </bookViews>
  <sheets>
    <sheet name="1.sz.össz" sheetId="1" r:id="rId1"/>
    <sheet name="1a. melléklet" sheetId="2" r:id="rId2"/>
    <sheet name="1b.melléklet" sheetId="3" r:id="rId3"/>
    <sheet name="2a sz.melléklet" sheetId="4" r:id="rId4"/>
    <sheet name="2b.sz.melléklet" sheetId="5" r:id="rId5"/>
    <sheet name="3.sz.melléklet" sheetId="6" r:id="rId6"/>
    <sheet name="3asz.melléklet" sheetId="7" r:id="rId7"/>
    <sheet name="3b.sz.melléklet" sheetId="8" r:id="rId8"/>
    <sheet name="3c.szmelléklet" sheetId="9" r:id="rId9"/>
    <sheet name="német 3d.sz. mell. " sheetId="10" r:id="rId10"/>
    <sheet name="cigány 3e sz. mell" sheetId="11" r:id="rId11"/>
    <sheet name="russzin 3f" sheetId="12" r:id="rId12"/>
    <sheet name="3g.sz melléklet" sheetId="13" r:id="rId13"/>
    <sheet name="4. sz. melléklet EÜ." sheetId="14" r:id="rId14"/>
    <sheet name="5.sz.melléklet" sheetId="15" r:id="rId15"/>
    <sheet name="6.sz.melléklet " sheetId="16" r:id="rId16"/>
    <sheet name="7a. sz mell." sheetId="17" r:id="rId17"/>
    <sheet name="7b. sz mell." sheetId="18" r:id="rId18"/>
    <sheet name="8.sz. mell. (2)" sheetId="19" r:id="rId19"/>
    <sheet name="9.sz.melléklet1" sheetId="20" r:id="rId20"/>
    <sheet name=" 10. sz. mell " sheetId="21" r:id="rId21"/>
    <sheet name="11. sz.mell" sheetId="22" r:id="rId22"/>
    <sheet name="12.sz.mell (2)" sheetId="23" r:id="rId23"/>
    <sheet name="13.a.sz.mell. " sheetId="24" r:id="rId24"/>
    <sheet name="14.sz.mell." sheetId="25" r:id="rId25"/>
    <sheet name="15. sz. mell. " sheetId="26" r:id="rId26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4._sz._sor_részletezése">#REF!</definedName>
    <definedName name="_xlnm.Print_Titles" localSheetId="0">'1.sz.össz'!$1:$1</definedName>
    <definedName name="_xlnm.Print_Titles" localSheetId="23">'13.a.sz.mell. '!$1:$1</definedName>
    <definedName name="_xlnm.Print_Titles" localSheetId="2">'1b.melléklet'!$1:$2</definedName>
    <definedName name="_xlnm.Print_Titles" localSheetId="3">'2a sz.melléklet'!$1:$1</definedName>
    <definedName name="_xlnm.Print_Titles" localSheetId="5">'3.sz.melléklet'!$1:$1</definedName>
    <definedName name="_xlnm.Print_Titles" localSheetId="6">'3asz.melléklet'!$1:$1</definedName>
    <definedName name="_xlnm.Print_Titles" localSheetId="7">'3b.sz.melléklet'!$1:$1</definedName>
    <definedName name="_xlnm.Print_Titles" localSheetId="8">'3c.szmelléklet'!$1:$1</definedName>
    <definedName name="_xlnm.Print_Titles" localSheetId="12">'3g.sz melléklet'!$1:$1</definedName>
    <definedName name="_xlnm.Print_Titles" localSheetId="13">'4. sz. melléklet EÜ.'!$1:$1</definedName>
    <definedName name="_xlnm.Print_Titles" localSheetId="14">'5.sz.melléklet'!$1:$1</definedName>
    <definedName name="_xlnm.Print_Titles" localSheetId="15">'6.sz.melléklet '!$1:$2</definedName>
    <definedName name="_xlnm.Print_Titles" localSheetId="16">'7a. sz mell.'!$1:$1</definedName>
    <definedName name="_xlnm.Print_Titles" localSheetId="17">'7b. sz mell.'!$1:$1</definedName>
    <definedName name="_xlnm.Print_Area" localSheetId="0">'1.sz.össz'!$A$1:$H$106</definedName>
    <definedName name="_xlnm.Print_Area" localSheetId="2">'1b.melléklet'!$A$1:$G$94</definedName>
    <definedName name="_xlnm.Print_Area" localSheetId="3">'2a sz.melléklet'!$A$1:$M$33</definedName>
    <definedName name="_xlnm.Print_Area" localSheetId="4">'2b.sz.melléklet'!$A$1:$G$39</definedName>
    <definedName name="_xlnm.Print_Area" localSheetId="5">'3.sz.melléklet'!$A$1:$E$83</definedName>
    <definedName name="_xlnm.Print_Area" localSheetId="6">'3asz.melléklet'!$A$1:$E$136</definedName>
    <definedName name="_xlnm.Print_Area" localSheetId="7">'3b.sz.melléklet'!$A$1:$E$205</definedName>
    <definedName name="_xlnm.Print_Area" localSheetId="8">'3c.szmelléklet'!$A$1:$E$420</definedName>
    <definedName name="_xlnm.Print_Area" localSheetId="12">'3g.sz melléklet'!$A$1:$K$270</definedName>
    <definedName name="_xlnm.Print_Area" localSheetId="13">'4. sz. melléklet EÜ.'!$A$1:$I$162</definedName>
    <definedName name="_xlnm.Print_Area" localSheetId="15">'6.sz.melléklet '!$A$1:$H$116</definedName>
    <definedName name="_xlnm.Print_Area" localSheetId="16">'7a. sz mell.'!$A$1:$I$118</definedName>
    <definedName name="_xlnm.Print_Area" localSheetId="17">'7b. sz mell.'!$A$1:$F$41</definedName>
    <definedName name="_xlnm.Print_Area" localSheetId="18">'8.sz. mell. (2)'!$A$1:$I$28</definedName>
    <definedName name="_xlnm.Print_Area" localSheetId="10">'cigány 3e sz. mell'!$A$1:$J$33</definedName>
    <definedName name="_xlnm.Print_Area" localSheetId="9">'német 3d.sz. mell. '!$A$1:$E$34</definedName>
    <definedName name="_xlnm.Print_Area" localSheetId="11">'russzin 3f'!$A$1:$J$33</definedName>
  </definedNames>
  <calcPr fullCalcOnLoad="1"/>
</workbook>
</file>

<file path=xl/sharedStrings.xml><?xml version="1.0" encoding="utf-8"?>
<sst xmlns="http://schemas.openxmlformats.org/spreadsheetml/2006/main" count="4310" uniqueCount="1649">
  <si>
    <t>Működési céltartalék</t>
  </si>
  <si>
    <t>Vecsés Sportjáért Alapítvány</t>
  </si>
  <si>
    <t>Cigány Nemzetiségi Önkormányzat</t>
  </si>
  <si>
    <t xml:space="preserve">Református Óvoda </t>
  </si>
  <si>
    <t>Önkormányzat felújítási kiadásai (nettó)</t>
  </si>
  <si>
    <t>Vállalkozás fejl.pályázati önrész</t>
  </si>
  <si>
    <t>II. FELHALMOZÁSI CÉLÚ KIADÁSOK</t>
  </si>
  <si>
    <t>LÉTSZÁM   fő</t>
  </si>
  <si>
    <t>Létszám:</t>
  </si>
  <si>
    <t>sorszám</t>
  </si>
  <si>
    <t>Feladat megnevezése</t>
  </si>
  <si>
    <t>2005.évi eredeti előirányzat</t>
  </si>
  <si>
    <t>%</t>
  </si>
  <si>
    <t>BEVÉTELEK</t>
  </si>
  <si>
    <t>1.</t>
  </si>
  <si>
    <t>Működési bevételek</t>
  </si>
  <si>
    <t>1.1.</t>
  </si>
  <si>
    <t>1.2.</t>
  </si>
  <si>
    <t>Önkormányzatok sajátos működési bevételei</t>
  </si>
  <si>
    <t>2.</t>
  </si>
  <si>
    <t>2.1.</t>
  </si>
  <si>
    <t>Önkormányzatok költségvetési támogatása</t>
  </si>
  <si>
    <t>3.</t>
  </si>
  <si>
    <t>5.</t>
  </si>
  <si>
    <t>6.</t>
  </si>
  <si>
    <t>Működési célú hitel</t>
  </si>
  <si>
    <t>7.</t>
  </si>
  <si>
    <t>Pénzforgalom nélküli bevételek</t>
  </si>
  <si>
    <t>8.</t>
  </si>
  <si>
    <t>Általános és ingyenes tanulói tankönyv vásárláshoz</t>
  </si>
  <si>
    <t>Külterületen elszórt hulladékok összegyűjtése</t>
  </si>
  <si>
    <t>BEVÉTELEK ÖSSZESEN</t>
  </si>
  <si>
    <t>KIADÁSOK</t>
  </si>
  <si>
    <t>Működési kiadások</t>
  </si>
  <si>
    <t>Kiegyenlítő, függő, átfutó kiadások</t>
  </si>
  <si>
    <t>Munkaadót terhelő járulékok</t>
  </si>
  <si>
    <t>1.3.</t>
  </si>
  <si>
    <t>1.4.</t>
  </si>
  <si>
    <t>1.5.</t>
  </si>
  <si>
    <t>1.6.</t>
  </si>
  <si>
    <t>Alaptevékenységi bevétel (vizitdíj)</t>
  </si>
  <si>
    <t xml:space="preserve"> - VFC támogatás (99/2006. Ök.hat.)</t>
  </si>
  <si>
    <t>1.7.</t>
  </si>
  <si>
    <t>Felhalmozási kiadások</t>
  </si>
  <si>
    <t>2.2.</t>
  </si>
  <si>
    <t>2.3.</t>
  </si>
  <si>
    <t>2.4</t>
  </si>
  <si>
    <t>KIADÁSOK ÖSSZESEN</t>
  </si>
  <si>
    <t>Intézményi működési bevételek</t>
  </si>
  <si>
    <t>2.4.</t>
  </si>
  <si>
    <t>2.5.</t>
  </si>
  <si>
    <t>2.6.</t>
  </si>
  <si>
    <t>Beruházási kiadások</t>
  </si>
  <si>
    <t>Felújítási kiadások</t>
  </si>
  <si>
    <t>1.1.1.</t>
  </si>
  <si>
    <t>1.1.2.</t>
  </si>
  <si>
    <t>Helyi adók</t>
  </si>
  <si>
    <t xml:space="preserve"> -Építményadó</t>
  </si>
  <si>
    <t xml:space="preserve"> -Iparűzési adó</t>
  </si>
  <si>
    <t>1.2.1.3</t>
  </si>
  <si>
    <t xml:space="preserve"> -Kommunális adó</t>
  </si>
  <si>
    <t xml:space="preserve"> -Napi általány (piac)</t>
  </si>
  <si>
    <t>Átengedett központi adók</t>
  </si>
  <si>
    <t xml:space="preserve"> - SZJA-ból kiegészítés jövedelem differenciálás miatt</t>
  </si>
  <si>
    <t xml:space="preserve"> -Gépjárműadó (100%)</t>
  </si>
  <si>
    <t>1.2.1.</t>
  </si>
  <si>
    <t>1.2.1.1.</t>
  </si>
  <si>
    <t xml:space="preserve"> - Nemzetiségi Önkormányzatok központi előirányzata</t>
  </si>
  <si>
    <t>Könyvtár érdekeltségnövelő pály.</t>
  </si>
  <si>
    <t>1.2.1.5.</t>
  </si>
  <si>
    <t>Közműfejlesztési támogatás</t>
  </si>
  <si>
    <t>1.3.1.</t>
  </si>
  <si>
    <t>1.3.1.1.</t>
  </si>
  <si>
    <t>1.3.1.1.1.</t>
  </si>
  <si>
    <t>1.1.2.1.</t>
  </si>
  <si>
    <t>Intézmények egyéb sajátos bevételei</t>
  </si>
  <si>
    <t>Intézményi működéshez kapcsolódó egyéb bevételek</t>
  </si>
  <si>
    <t>Monoti Kistérségtől átvett pénzeszközök</t>
  </si>
  <si>
    <t>Bálint Ágnes Óvoda kertészet, parkosítás</t>
  </si>
  <si>
    <t>Felhalmozási célú hitelfelvétel</t>
  </si>
  <si>
    <t>Előző évi pénzmaradvány működési célú igénybevétele</t>
  </si>
  <si>
    <t>Előző évi pénzmaradvány felhalmozásicélú igénybevétele</t>
  </si>
  <si>
    <t>Költségvetési működési kiadások</t>
  </si>
  <si>
    <t>Költségvetési felhalmozási kiadások</t>
  </si>
  <si>
    <t>kiadások összesen:</t>
  </si>
  <si>
    <t>Összes hiány:</t>
  </si>
  <si>
    <t>Működési célú, támogatásértékű bev. Központi költségvetési szervtől</t>
  </si>
  <si>
    <t>Cigány Kisebbségi Önkormányzat</t>
  </si>
  <si>
    <t>Russzin Kisebbségi Önkormányzat</t>
  </si>
  <si>
    <t>Kisebbségi önkormányzatok működési célú támogatásértékű kiadásai</t>
  </si>
  <si>
    <t>Egyéb támogatás</t>
  </si>
  <si>
    <t>1.6.3.4</t>
  </si>
  <si>
    <t>1.6.3.5</t>
  </si>
  <si>
    <t>1.6.3.6</t>
  </si>
  <si>
    <t>1.6.3.8</t>
  </si>
  <si>
    <t>1.6.3.9</t>
  </si>
  <si>
    <t>1.6.3.10</t>
  </si>
  <si>
    <t>1.6.3.11</t>
  </si>
  <si>
    <t>1.6.3.12</t>
  </si>
  <si>
    <t>1.6.3.13</t>
  </si>
  <si>
    <t>1.6.3.14</t>
  </si>
  <si>
    <t>1.6.3.6.</t>
  </si>
  <si>
    <t>Bérleti és lízung díjbevétel/Tartós bérelti díjak/</t>
  </si>
  <si>
    <t>Piaci asztalbérlet</t>
  </si>
  <si>
    <t>Szolgáltatások bevételei</t>
  </si>
  <si>
    <t>1.1.2.2.</t>
  </si>
  <si>
    <t xml:space="preserve"> - Egyéb</t>
  </si>
  <si>
    <t>1.1.3.1.1.</t>
  </si>
  <si>
    <t>1.1.3.1.2.</t>
  </si>
  <si>
    <t>Kamatbevételek</t>
  </si>
  <si>
    <t>1.1.5.</t>
  </si>
  <si>
    <t>Különféle bírságok</t>
  </si>
  <si>
    <t>1.2.4.</t>
  </si>
  <si>
    <t>Helyszíni és szabálysértési bírság</t>
  </si>
  <si>
    <t>1.2.5.</t>
  </si>
  <si>
    <t>Talajterhelési díj</t>
  </si>
  <si>
    <t>1.2.6.</t>
  </si>
  <si>
    <t>Egyéb sajátos folyó bevételek</t>
  </si>
  <si>
    <t>1.2.6.1.</t>
  </si>
  <si>
    <t>1.2.2.4.</t>
  </si>
  <si>
    <t>1.2.2.3</t>
  </si>
  <si>
    <t xml:space="preserve"> - SZJA Normatív módon elosztott része</t>
  </si>
  <si>
    <t xml:space="preserve"> - Ped.szakvizsga és továbbképzés</t>
  </si>
  <si>
    <t xml:space="preserve"> - Szociális továbbképzés és szakvizsga támogatás</t>
  </si>
  <si>
    <t>1.3.1</t>
  </si>
  <si>
    <t>1.3.2</t>
  </si>
  <si>
    <t>1.3.2.1</t>
  </si>
  <si>
    <t>1.3.2.2</t>
  </si>
  <si>
    <t>1.3.2.3</t>
  </si>
  <si>
    <t xml:space="preserve">Normatív támogatások </t>
  </si>
  <si>
    <t>Központosított előírányzatok</t>
  </si>
  <si>
    <t>1.3.3.1</t>
  </si>
  <si>
    <t>1.3.3.1.1</t>
  </si>
  <si>
    <t>1.3.3.1.2.</t>
  </si>
  <si>
    <t>Hétvégi étkeztetés</t>
  </si>
  <si>
    <t>1.3.5.</t>
  </si>
  <si>
    <t>Önkormányzatok egyéb költségvetési támogatása</t>
  </si>
  <si>
    <t>1.3.5.1</t>
  </si>
  <si>
    <t>1.3.5.2.</t>
  </si>
  <si>
    <t>Egyéb központi támogatás</t>
  </si>
  <si>
    <t>1.3.5.1.1.</t>
  </si>
  <si>
    <t>KMR támogatás /Széchenyi út burkolatfelújítás/</t>
  </si>
  <si>
    <t>Támogatási kölcsönök visszatérülése</t>
  </si>
  <si>
    <t>1.5.1</t>
  </si>
  <si>
    <t>2.1.1.</t>
  </si>
  <si>
    <t>2.1.3.</t>
  </si>
  <si>
    <t>Városgazdálkodás ( 841403 )</t>
  </si>
  <si>
    <t>Közvilágítás ( 841402 )</t>
  </si>
  <si>
    <t>Utak üzemeltetése ( 552110 )</t>
  </si>
  <si>
    <t>Zöldterület kezelés ( 813000 )</t>
  </si>
  <si>
    <t>Közcélú foglalkoztatás ( 890441 )</t>
  </si>
  <si>
    <t>Közterületek rendjének fenntartása ( 842421 )</t>
  </si>
  <si>
    <t>13.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</si>
  <si>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</si>
  <si>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</si>
  <si>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</si>
  <si>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</si>
  <si>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</si>
  <si>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</si>
  <si>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</si>
  <si>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</si>
  <si>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</si>
  <si>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</si>
  <si>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</si>
  <si>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</si>
  <si>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Önállóan működő és  gazdálkodó intézmény neve</t>
  </si>
  <si>
    <t>3.22</t>
  </si>
  <si>
    <t>Belterületi utak fejlesztése 184/2009. (VIII.31.) hat.(5 utca)</t>
  </si>
  <si>
    <t>Háziorvosi alapellátás 862101</t>
  </si>
  <si>
    <t xml:space="preserve">            Pályázati támogatás / Gyömrő hívja le /   </t>
  </si>
  <si>
    <t xml:space="preserve">Házi segítségnyújtás </t>
  </si>
  <si>
    <t>Vecsés (Gyömrőnél tervezve)</t>
  </si>
  <si>
    <t xml:space="preserve">Polgármesteri Hivatal </t>
  </si>
  <si>
    <t xml:space="preserve">képviselők </t>
  </si>
  <si>
    <t xml:space="preserve"> képviselők gépkocsi térítése</t>
  </si>
  <si>
    <t>1.2.3.1</t>
  </si>
  <si>
    <t xml:space="preserve">                  -ebből nemzetiségi feladatra fordítható</t>
  </si>
  <si>
    <t>Társönkormányzatoknak átadott  pénzeszközök</t>
  </si>
  <si>
    <t xml:space="preserve">            Támogatás értékű bevételek OEP</t>
  </si>
  <si>
    <t>2.1.4.</t>
  </si>
  <si>
    <t>2.1.5.</t>
  </si>
  <si>
    <t>Ingatlan</t>
  </si>
  <si>
    <t>1.2.2.</t>
  </si>
  <si>
    <t>1.2.3.</t>
  </si>
  <si>
    <t>ÁFA</t>
  </si>
  <si>
    <t xml:space="preserve">Közműfejlesztésre lakosságtól </t>
  </si>
  <si>
    <t>2.1.2.</t>
  </si>
  <si>
    <t>Céljellegű, decentrelizált támogatás</t>
  </si>
  <si>
    <t>2.2.1.</t>
  </si>
  <si>
    <t>Polgármesteri Hivatal bevételei</t>
  </si>
  <si>
    <t>Okmányiroda, igazgatási tev.</t>
  </si>
  <si>
    <t>1.2.1.2</t>
  </si>
  <si>
    <t>1.2.1.4</t>
  </si>
  <si>
    <t>1.2.2.1.</t>
  </si>
  <si>
    <t>1.2.2.2</t>
  </si>
  <si>
    <t>2.1.2.1.</t>
  </si>
  <si>
    <t xml:space="preserve">       -ebből Német Nemzetiségi Önkormányzat</t>
  </si>
  <si>
    <t xml:space="preserve">       -ebből Cigány Nemzetiségi Önkormányzat</t>
  </si>
  <si>
    <t>Kiegészítő támogatás helyi önkormányzatok bérkiadásához</t>
  </si>
  <si>
    <t>2.1.4</t>
  </si>
  <si>
    <t>2.1.5</t>
  </si>
  <si>
    <t>3.2.2.</t>
  </si>
  <si>
    <t>3.2.3.</t>
  </si>
  <si>
    <t>Tartós bérelti díjak</t>
  </si>
  <si>
    <t>3.2.3.1.</t>
  </si>
  <si>
    <t>Helyiségek tartós bérbeadás</t>
  </si>
  <si>
    <t>3.2.3.1.1.</t>
  </si>
  <si>
    <t xml:space="preserve"> - Önkormányzati</t>
  </si>
  <si>
    <t>3.2.3.1.2.</t>
  </si>
  <si>
    <t xml:space="preserve"> - Laktanya</t>
  </si>
  <si>
    <t>3.2.3.1.3.</t>
  </si>
  <si>
    <t xml:space="preserve"> - Egyéb építmény bérbeadása (GYÁVÍV Kft)</t>
  </si>
  <si>
    <t>3.2.3.1.4.</t>
  </si>
  <si>
    <t xml:space="preserve"> - Károly u. 2.</t>
  </si>
  <si>
    <t>3.2.4.</t>
  </si>
  <si>
    <t>Egyéb bevétel</t>
  </si>
  <si>
    <t>3.2.4.1</t>
  </si>
  <si>
    <t xml:space="preserve"> - Piaci helypénz,közterület fogl.</t>
  </si>
  <si>
    <t>3.2.4.2.</t>
  </si>
  <si>
    <t xml:space="preserve"> - Asztalbérlet</t>
  </si>
  <si>
    <t>3.2.4.3.</t>
  </si>
  <si>
    <t xml:space="preserve"> - Nagybani piac bevétel</t>
  </si>
  <si>
    <t>3.2.4.4.</t>
  </si>
  <si>
    <t xml:space="preserve"> - Búcsú</t>
  </si>
  <si>
    <t>3.2.4.5</t>
  </si>
  <si>
    <t xml:space="preserve"> - Bírság</t>
  </si>
  <si>
    <t>3.2.4.6</t>
  </si>
  <si>
    <t xml:space="preserve"> - közterület </t>
  </si>
  <si>
    <t>3.2.6.</t>
  </si>
  <si>
    <t>egyéb</t>
  </si>
  <si>
    <t xml:space="preserve">ÁFA bevétel </t>
  </si>
  <si>
    <t>Társönkormányzatoktól átvett pénzeszközök</t>
  </si>
  <si>
    <t>Társönkormányzatoknak átadott pénzeszközök</t>
  </si>
  <si>
    <t>Vecsés (Gyömrőnél tervezre)</t>
  </si>
  <si>
    <t xml:space="preserve">            Állami normatíva   </t>
  </si>
  <si>
    <t>Társuláson kívül önállóan működtetett szakfeladat</t>
  </si>
  <si>
    <t>Folyószámlahitel kamatai</t>
  </si>
  <si>
    <t>Folyószámlahitel törlesztése</t>
  </si>
  <si>
    <t>I.</t>
  </si>
  <si>
    <t xml:space="preserve"> Általános Iskola</t>
  </si>
  <si>
    <t>Bevételek</t>
  </si>
  <si>
    <t>Tornaterem bérbeadása</t>
  </si>
  <si>
    <t>Tanterem bérbeadása</t>
  </si>
  <si>
    <t>Költségvetési támogatás</t>
  </si>
  <si>
    <t xml:space="preserve">      - Működési támogatás</t>
  </si>
  <si>
    <t xml:space="preserve">            Állami normatíva      </t>
  </si>
  <si>
    <t xml:space="preserve">            Önkormányzati támogatás</t>
  </si>
  <si>
    <t xml:space="preserve">       - Felhalmozási támogatás</t>
  </si>
  <si>
    <t>Bevételek összesen:</t>
  </si>
  <si>
    <t xml:space="preserve">      -ebből nemzetiségi</t>
  </si>
  <si>
    <t>Kiadások</t>
  </si>
  <si>
    <t>Személyi juttatás</t>
  </si>
  <si>
    <t xml:space="preserve">    -ebből nemzetiségi</t>
  </si>
  <si>
    <t>Dologi kiadások</t>
  </si>
  <si>
    <t>2.3.1.</t>
  </si>
  <si>
    <t>2.4.1.</t>
  </si>
  <si>
    <t>Felújítás</t>
  </si>
  <si>
    <t>Beruházás</t>
  </si>
  <si>
    <t>2.6.1.</t>
  </si>
  <si>
    <t>2.7.</t>
  </si>
  <si>
    <t>Egyéb kiadás</t>
  </si>
  <si>
    <t>Kiadások összesen:</t>
  </si>
  <si>
    <t xml:space="preserve">     - ebből nemzetiségi</t>
  </si>
  <si>
    <t xml:space="preserve">Létszámkeret fő </t>
  </si>
  <si>
    <t>ECDL vizsgadíj</t>
  </si>
  <si>
    <t>Szakképzési hozájárulás</t>
  </si>
  <si>
    <t>Létszámkeret  fő</t>
  </si>
  <si>
    <t xml:space="preserve">   - ebből nemzetiségi</t>
  </si>
  <si>
    <t xml:space="preserve">   -ebből nemzetiségi</t>
  </si>
  <si>
    <t>Létszámkeret (fő) összesen:</t>
  </si>
  <si>
    <t>II.</t>
  </si>
  <si>
    <t>Falusi  Általános Iskola - Dorfschula Wetschesch</t>
  </si>
  <si>
    <t>III.</t>
  </si>
  <si>
    <t>Gróf Andrássy Gyula Általános Iskola</t>
  </si>
  <si>
    <t>Tornaterem bérbeadás</t>
  </si>
  <si>
    <t>Magántelefon, egyéb bevétel</t>
  </si>
  <si>
    <t>Létszámkeret fő</t>
  </si>
  <si>
    <t>IV.</t>
  </si>
  <si>
    <t>Vecsési Zeneiskola</t>
  </si>
  <si>
    <t>Tandíj, hangszer kölcsönzés</t>
  </si>
  <si>
    <t>V.</t>
  </si>
  <si>
    <t>Halmi Telepi Általános Iskola</t>
  </si>
  <si>
    <t>Helyiség bérbeadása</t>
  </si>
  <si>
    <t>VI.</t>
  </si>
  <si>
    <t>Falusi Nemzetiségi Óvoda - Dorfkindergarten Wetschesch</t>
  </si>
  <si>
    <t>VII.</t>
  </si>
  <si>
    <t>Kisfaludy utcai Óvoda</t>
  </si>
  <si>
    <t>2.4.1</t>
  </si>
  <si>
    <t>VIII.</t>
  </si>
  <si>
    <t xml:space="preserve">     Érdekeltségnövelő pályázat</t>
  </si>
  <si>
    <t xml:space="preserve">     NKA alkotótábor + nomád tábor</t>
  </si>
  <si>
    <t>Kötött felhasználással Pedagógus szakvizsga és szakképzés</t>
  </si>
  <si>
    <t>Felmentések, végkielégítések egyéb tartalék</t>
  </si>
  <si>
    <t>Gyereknap</t>
  </si>
  <si>
    <t>Működési célú támogatásértékű kiadások helyi önkormányzatkoknak</t>
  </si>
  <si>
    <t>IX.</t>
  </si>
  <si>
    <t>Tündérkert Óvoda</t>
  </si>
  <si>
    <t>X.</t>
  </si>
  <si>
    <t>XI.</t>
  </si>
  <si>
    <t>Vecsési Egészségügyi Szolgálat</t>
  </si>
  <si>
    <t>Alaptevékenységi bevétel</t>
  </si>
  <si>
    <t>Bérleti díj</t>
  </si>
  <si>
    <t>1.1.3.</t>
  </si>
  <si>
    <t>1.1.4.</t>
  </si>
  <si>
    <t xml:space="preserve">            Állami normatíva   (OEP támogatás)   </t>
  </si>
  <si>
    <t>2.6</t>
  </si>
  <si>
    <t xml:space="preserve">Menetrendszerű közúti, helyi személyszállítás </t>
  </si>
  <si>
    <t xml:space="preserve">            Állami normatíva    (OEP támogatás)  </t>
  </si>
  <si>
    <t>2.8.</t>
  </si>
  <si>
    <t>1.1.1</t>
  </si>
  <si>
    <t xml:space="preserve">            Állami normatíva  (OEP támogatás)    </t>
  </si>
  <si>
    <t>Vecsési Egészségügyi Szolgálat                                             bevétel összesen</t>
  </si>
  <si>
    <t>Vecsési Egészségügyi Szolgálat                                             kiadás összesen</t>
  </si>
  <si>
    <t>XII.</t>
  </si>
  <si>
    <t>XIII.</t>
  </si>
  <si>
    <t>Óvodai étkeztetés</t>
  </si>
  <si>
    <t>Iskolai étkeztetés</t>
  </si>
  <si>
    <t>Szociális étkeztetés</t>
  </si>
  <si>
    <t>Idősek klubja</t>
  </si>
  <si>
    <t>Felnőtt étkeztetés (iskolai)</t>
  </si>
  <si>
    <t xml:space="preserve">Munkahelyi vendéglátás </t>
  </si>
  <si>
    <t>Munkahelyi vendégátás(vendégebéd)</t>
  </si>
  <si>
    <t>XIV.</t>
  </si>
  <si>
    <t>Semmelweis Bölcsőde</t>
  </si>
  <si>
    <t>Étkezési díj</t>
  </si>
  <si>
    <t>Magántelefon</t>
  </si>
  <si>
    <t xml:space="preserve">Létszámkeret  </t>
  </si>
  <si>
    <t>XV.</t>
  </si>
  <si>
    <t>Családsegítő- és Gyermekjóléti Szolgálat</t>
  </si>
  <si>
    <t>Családsegítő Szolgálat</t>
  </si>
  <si>
    <t>Gyermekjóléti Szolgálat</t>
  </si>
  <si>
    <t>XVI.</t>
  </si>
  <si>
    <t>Gondozási Központ</t>
  </si>
  <si>
    <t>Gondozási díj</t>
  </si>
  <si>
    <t>Szállítás</t>
  </si>
  <si>
    <t>Egyéb bevételek (fénymásolás, gép ber.értékesítés)</t>
  </si>
  <si>
    <t>József Attila Művelődési Ház</t>
  </si>
  <si>
    <t>Különféle egyéb bevételek</t>
  </si>
  <si>
    <t>Róder Imre Városi Könyvtár</t>
  </si>
  <si>
    <t>Olvasási beiratkozási díj</t>
  </si>
  <si>
    <t>Egyéb bevételek (fénymásolás, videó kölcsönzés)</t>
  </si>
  <si>
    <t>Szakmaközi bérleti díj</t>
  </si>
  <si>
    <t>Oktatási intézményi normatíva</t>
  </si>
  <si>
    <t>Oktatási intézmények össz költsége</t>
  </si>
  <si>
    <t>eredeti</t>
  </si>
  <si>
    <t>Polgármesteri Hivatal</t>
  </si>
  <si>
    <t>PH</t>
  </si>
  <si>
    <t>ph tábla</t>
  </si>
  <si>
    <t>beruházás</t>
  </si>
  <si>
    <t>kamatmentes</t>
  </si>
  <si>
    <t>1.4.-ban</t>
  </si>
  <si>
    <t>függő</t>
  </si>
  <si>
    <t>ÁFA befiz</t>
  </si>
  <si>
    <t>1.4.1.</t>
  </si>
  <si>
    <t>Időskorúak járadéka</t>
  </si>
  <si>
    <t>pénzmaradv</t>
  </si>
  <si>
    <t xml:space="preserve">Rendszeres szociális segély </t>
  </si>
  <si>
    <t>Lakásfenntartási támogatás</t>
  </si>
  <si>
    <t>Felsőtelepi Városi Ünnepség</t>
  </si>
  <si>
    <t>Ápolási díj TB járuléka</t>
  </si>
  <si>
    <t>Köztemetés</t>
  </si>
  <si>
    <t>Közgyógyellátás</t>
  </si>
  <si>
    <t xml:space="preserve"> -Pótlékok,bírságok</t>
  </si>
  <si>
    <t xml:space="preserve"> - Napi általány (piac)</t>
  </si>
  <si>
    <t>Pénzügyi befektetések bevételei</t>
  </si>
  <si>
    <t>Osztalék és hozam bevétel</t>
  </si>
  <si>
    <t>Önk.felhalmozási és tőke jellegű bevételei</t>
  </si>
  <si>
    <t>2.1.1.1</t>
  </si>
  <si>
    <t>2.1.2.1</t>
  </si>
  <si>
    <t>Felhalmozási célú, támogatásértékű bevételek</t>
  </si>
  <si>
    <t>Végleges pénzeszköz átvétel Áh kivülről</t>
  </si>
  <si>
    <t>Felhalmozási célú pénzeszköz átvétel Áh kivülről</t>
  </si>
  <si>
    <t>2.3.1.1.</t>
  </si>
  <si>
    <t>2.3.1.2</t>
  </si>
  <si>
    <t>Pénzforgalmi felhalm.célú költségvetési bevételek:</t>
  </si>
  <si>
    <t>Bevétel össz.</t>
  </si>
  <si>
    <t>Ph bevétel</t>
  </si>
  <si>
    <t>Intézmények</t>
  </si>
  <si>
    <t>NNÖK</t>
  </si>
  <si>
    <t>CNÖK</t>
  </si>
  <si>
    <t>összesen</t>
  </si>
  <si>
    <t>Eltérés:</t>
  </si>
  <si>
    <t>E EI</t>
  </si>
  <si>
    <t>Kiadás össz.:</t>
  </si>
  <si>
    <t>Ph kiadás</t>
  </si>
  <si>
    <t xml:space="preserve">Intézmények </t>
  </si>
  <si>
    <t>összesen:</t>
  </si>
  <si>
    <t>Eltérés</t>
  </si>
  <si>
    <t>Ph össz:</t>
  </si>
  <si>
    <t>Eüössz</t>
  </si>
  <si>
    <t>Öszesen:</t>
  </si>
  <si>
    <t>Kiadások össz</t>
  </si>
  <si>
    <t>EEI</t>
  </si>
  <si>
    <t>Bevétel össz.:</t>
  </si>
  <si>
    <t xml:space="preserve">Felhalmozási célú előző évi pénzmaradvány </t>
  </si>
  <si>
    <t>Pénzforgalom nélküli felhalmozási bevételek összesen:</t>
  </si>
  <si>
    <t>Költségvetési felhalmozási bevételek:</t>
  </si>
  <si>
    <t>Hosszú lejáratú hitelek pénzügyi vállalkozástól</t>
  </si>
  <si>
    <t xml:space="preserve">Hosszú lejáratú hitelek </t>
  </si>
  <si>
    <t>2.8.2.</t>
  </si>
  <si>
    <t>Tartozás kötvénykibocsátásból</t>
  </si>
  <si>
    <t>Finanszírozási felhalmozási bevételek összesen:</t>
  </si>
  <si>
    <t>II. FELHALMOZÁSI BEVÉTELEK ÖSSZESEN:</t>
  </si>
  <si>
    <t xml:space="preserve"> BEVÉTELEK</t>
  </si>
  <si>
    <t>1.4</t>
  </si>
  <si>
    <t>Önkormányzat által folyósított ellátások</t>
  </si>
  <si>
    <t>Kamatmentes kölcsön</t>
  </si>
  <si>
    <t>Alapítványok</t>
  </si>
  <si>
    <t>Vecsés Tájékoztatásáért Közalapítvány</t>
  </si>
  <si>
    <t>Vecsés Egészségügyéért Közhasznú Közlapítvány</t>
  </si>
  <si>
    <t>Társadalmi célú szervezetek</t>
  </si>
  <si>
    <t>Büfé bérlet, egyéb bev.</t>
  </si>
  <si>
    <t>Működési célú pénzeszközátvétel ÁH belűlről</t>
  </si>
  <si>
    <t>Német Nemzetiségi Önkormányzat</t>
  </si>
  <si>
    <t>Ruszin Kisebbségi Önkormányzat</t>
  </si>
  <si>
    <t>CigányKisebbségi Önkormányzat</t>
  </si>
  <si>
    <t>Városi fejlesztésekre céltartalék</t>
  </si>
  <si>
    <t>RKÖK</t>
  </si>
  <si>
    <t>CKÖK</t>
  </si>
  <si>
    <t>Intézményi felhalmozásból származó halmozódás kiszűrése:</t>
  </si>
  <si>
    <t>POLGÁRMESTERI HIVATAL KIADÁSAI ÖSSZESEN:</t>
  </si>
  <si>
    <t>Finanszírozási kiadás</t>
  </si>
  <si>
    <t>Működési célú hitel törlesztése</t>
  </si>
  <si>
    <t>Fejlesztési célú hitel törlesztése</t>
  </si>
  <si>
    <t xml:space="preserve">   - ebből hiány belső finanszírozása</t>
  </si>
  <si>
    <t xml:space="preserve">  - ebből hiány külső  finanszírozása</t>
  </si>
  <si>
    <t>Vállalkozás fejlesztés támogastása</t>
  </si>
  <si>
    <t>Oktatási feladatok</t>
  </si>
  <si>
    <t>Sportfeladatok</t>
  </si>
  <si>
    <t>Átmeneti segély</t>
  </si>
  <si>
    <t>Temetési segély</t>
  </si>
  <si>
    <t>Ápolási díj ( alanyi )</t>
  </si>
  <si>
    <t>Lakásfenntartási támogatás helyi</t>
  </si>
  <si>
    <t xml:space="preserve">Létfenntartási támogatás </t>
  </si>
  <si>
    <t>Bérpótló juttatás</t>
  </si>
  <si>
    <t>Egészségkárosodottak juttatása</t>
  </si>
  <si>
    <t>Természetbeni szoc. ellátás (karácsonyi csomag)</t>
  </si>
  <si>
    <t>1.7.2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</si>
  <si>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</si>
  <si>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</si>
  <si>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</si>
  <si>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</si>
  <si>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</si>
  <si>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</si>
  <si>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</si>
  <si>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</si>
  <si>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</si>
  <si>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</si>
  <si>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</si>
  <si>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</si>
  <si>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</si>
  <si>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HIÁNY:</t>
  </si>
  <si>
    <t>Pénzforgalmi működési célú bevételek</t>
  </si>
  <si>
    <t>Pénzforgalmi felhalmozási célú bevételek</t>
  </si>
  <si>
    <t>Költségvetési pénzforgalmi bevételek összesen:</t>
  </si>
  <si>
    <t>Költségvetési kiadások összesen:</t>
  </si>
  <si>
    <r>
      <t>Költségvetési hiány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(pénzforgalmi költségvetési bevétlek -  költségvetési kiadások )</t>
    </r>
  </si>
  <si>
    <t>Finanszírozási többlet</t>
  </si>
  <si>
    <t>Kispista Színház</t>
  </si>
  <si>
    <t>MŰKÖDÉSI BEVÉTELEK ÖSSZESEN:</t>
  </si>
  <si>
    <t>MŰKÖDÉSI KIADÁSOK ÖSSZESEN:</t>
  </si>
  <si>
    <t>1.6.1.1.</t>
  </si>
  <si>
    <t>1.6.1.2.</t>
  </si>
  <si>
    <t>1.6.1.3.</t>
  </si>
  <si>
    <t>1.6.1.4.</t>
  </si>
  <si>
    <t>1.6.1.5.</t>
  </si>
  <si>
    <t>1.6.1.6.</t>
  </si>
  <si>
    <t>1.6.1.7.</t>
  </si>
  <si>
    <t>1.6.3.</t>
  </si>
  <si>
    <t>1.6.3.1.</t>
  </si>
  <si>
    <t>1.6.3.2.</t>
  </si>
  <si>
    <t>1.6.5.</t>
  </si>
  <si>
    <t>1.7.1</t>
  </si>
  <si>
    <t>1.7.3</t>
  </si>
  <si>
    <t>1.8.1.</t>
  </si>
  <si>
    <t>1.8.2.</t>
  </si>
  <si>
    <t>1.10.1</t>
  </si>
  <si>
    <t>1.10.2</t>
  </si>
  <si>
    <t>1.10.2.1</t>
  </si>
  <si>
    <t>1.10.3</t>
  </si>
  <si>
    <t>2009. eredeti</t>
  </si>
  <si>
    <t>2010. eredeti</t>
  </si>
  <si>
    <t>Társönkormányzatnak átadott pénzeszköz</t>
  </si>
  <si>
    <t>Járóbetegek gyógyító szakellátása  862211</t>
  </si>
  <si>
    <t>Háziorvosi ügyeleti ellátás szolgálat 862102</t>
  </si>
  <si>
    <t>Fogorvosi alapellátás 862301</t>
  </si>
  <si>
    <t>Ifjúság-egészségügyi gondozás 869042</t>
  </si>
  <si>
    <t>Család- és nővédelmi egészségügyi gondozás 869041</t>
  </si>
  <si>
    <t xml:space="preserve"> MŰKÖDÉSI BEVÉTELEK </t>
  </si>
  <si>
    <t>II. FELHALMOZÁSI CÉLÚ BEVÉTELEK ÉS KIADÁSOK</t>
  </si>
  <si>
    <t xml:space="preserve">FELHALMOZÁSI BEVÉTELEK </t>
  </si>
  <si>
    <t>I. MŰKÖDÉSI BEVÉTELEK ÉS KIADÁSOK</t>
  </si>
  <si>
    <t xml:space="preserve">Költségvetési pénzforgalmi bevételek </t>
  </si>
  <si>
    <t xml:space="preserve">Költségvetési pénzforgalom nélküli bevételek </t>
  </si>
  <si>
    <t>Finanszírozási bevételek</t>
  </si>
  <si>
    <t>Végleges pénzeszközátadás Áh kivülre</t>
  </si>
  <si>
    <t>1.3.1.3.</t>
  </si>
  <si>
    <t>Bevételek után fizetendő Áfa /Ingatlan értékesítés/</t>
  </si>
  <si>
    <t>I. MŰKÖDÉSI KIADÁSOK</t>
  </si>
  <si>
    <t>Önkormányzat által folyósított ellátásokra jutó TB</t>
  </si>
  <si>
    <t>1.3.1.1</t>
  </si>
  <si>
    <t>2008. évi tervezett előirányzat</t>
  </si>
  <si>
    <t>2.1.1.2</t>
  </si>
  <si>
    <t>2.2.4.</t>
  </si>
  <si>
    <t>2.2.5.</t>
  </si>
  <si>
    <t xml:space="preserve">Menetrendszerű közúti, helyi személyszállítás (602147) </t>
  </si>
  <si>
    <t>Egyéb bevételek /kamat és hozambevétel/</t>
  </si>
  <si>
    <t>Egyéb finanszirozási kiadás</t>
  </si>
  <si>
    <t>Pénzforgalmi műk.célú ktgvet.-i bevételek összesen:</t>
  </si>
  <si>
    <t>Pénzforgalom nélküli működési kiadások összesen:</t>
  </si>
  <si>
    <t>Finanszírozási működési kiadások összesen:</t>
  </si>
  <si>
    <t>I. MŰKÖDÉSI KIADÁSOK ÖSSZESEN:</t>
  </si>
  <si>
    <t>Polgármesteri Hivatal Kiadásai</t>
  </si>
  <si>
    <t>1.6.1.</t>
  </si>
  <si>
    <t>Általános Tartalék</t>
  </si>
  <si>
    <t>1.6.2.</t>
  </si>
  <si>
    <t>Részvények,részesedések vásárlása</t>
  </si>
  <si>
    <t>2.5.1</t>
  </si>
  <si>
    <t>2.5.2.</t>
  </si>
  <si>
    <t>Pénzforgalmi felhalm.célú költségvetési kiadások:</t>
  </si>
  <si>
    <t>Pénzforgalom nélküli felhalmozási kiadások összesen:</t>
  </si>
  <si>
    <t>Költségvetési felhalmozási kiadások:</t>
  </si>
  <si>
    <t>2.8.1.1.</t>
  </si>
  <si>
    <t>Finanszírozási felhalmozási kiadások összesen:</t>
  </si>
  <si>
    <t>II. FELHALMOZÁSI KIADÁSOK ÖSSZESEN:</t>
  </si>
  <si>
    <t>Önkormányzati feladat szakfeladatonként Összesítés</t>
  </si>
  <si>
    <t>FELHALMOZÁSI CÉLÚ KIADÁSOK</t>
  </si>
  <si>
    <t>FELHALMOZÁSI BEVÉTELEK ÖSSZESEN:</t>
  </si>
  <si>
    <t>Intézmények felújítási kiadásai (nettó)</t>
  </si>
  <si>
    <t>Intézmények beruházási kiadásai (nettó)</t>
  </si>
  <si>
    <t>Felújítási kiadások Áfa része</t>
  </si>
  <si>
    <t>2.2.1</t>
  </si>
  <si>
    <t>2.2.2</t>
  </si>
  <si>
    <t>Önkormányzat beruházási kiadásai (nettó)</t>
  </si>
  <si>
    <t>Beruházási kiadások Áfa része</t>
  </si>
  <si>
    <t xml:space="preserve"> FELHALMOZÁSI KIADÁSOK ÖSSZESEN:</t>
  </si>
  <si>
    <t>Munkabérhitel kamata</t>
  </si>
  <si>
    <t>Munkabérhitel törlesztés</t>
  </si>
  <si>
    <t>Támogatásértékű bevételek,kiegészítések</t>
  </si>
  <si>
    <t>2008.évi eredeti előirányzat</t>
  </si>
  <si>
    <t>10.</t>
  </si>
  <si>
    <t>Kiegyenlítő, függő, átfutó bevételek</t>
  </si>
  <si>
    <t>ÖNKORMÁNYZAT BEVÉTELEI ÖSSZESEN</t>
  </si>
  <si>
    <t>Költségvetési pénzforgalmi kiadások</t>
  </si>
  <si>
    <t>Költségvetési pénzforgalom nélküli kiadások</t>
  </si>
  <si>
    <t>Finanszírozási kiadások</t>
  </si>
  <si>
    <t>ÖNKORMÁNYZAT KIADÁSAI ÖSSZESEN</t>
  </si>
  <si>
    <t>Társulás támogatásértékű bevétele, kiadás miatti</t>
  </si>
  <si>
    <t>14.</t>
  </si>
  <si>
    <t>15.</t>
  </si>
  <si>
    <t>16.</t>
  </si>
  <si>
    <t>17.</t>
  </si>
  <si>
    <t>Dologi és egyéb folyó kiadások</t>
  </si>
  <si>
    <t>Támogatásértékű kiadások</t>
  </si>
  <si>
    <t>Tartalékok</t>
  </si>
  <si>
    <t>Vecsés Közrendjéért és  Közbiztonságáért Közalapítvány</t>
  </si>
  <si>
    <t xml:space="preserve"> - ebből Tavaszi fesztivál</t>
  </si>
  <si>
    <t>1.6.1.8</t>
  </si>
  <si>
    <t>1.6.3.3</t>
  </si>
  <si>
    <t>1.6.3.7</t>
  </si>
  <si>
    <t>1.6.3.2.1</t>
  </si>
  <si>
    <t>1.6.3.2.2</t>
  </si>
  <si>
    <t>1.3.1.10</t>
  </si>
  <si>
    <t>Sportpálya korszerűsítés MFB hitel kamata</t>
  </si>
  <si>
    <t>Működési célú hitel visszafizetése</t>
  </si>
  <si>
    <t>2.2.4</t>
  </si>
  <si>
    <t>2.2.5</t>
  </si>
  <si>
    <t>Működési hiány finanszírozására igénybevett előző évi pénzmaradvány</t>
  </si>
  <si>
    <t>Felhalmozási hiány finanszírozására igénybevett előző évi pénzmaradvány</t>
  </si>
  <si>
    <t>Lakóingatlan bérbeadása (682001 )üzemeltetése</t>
  </si>
  <si>
    <t>Nem lakóingatlan bérbeadása ( 682002 ) üzemelt.</t>
  </si>
  <si>
    <t>Bölcsőde: parkoló, járda és gk.bejáró építése</t>
  </si>
  <si>
    <t>Művelődési Ház által szervezett rendezvények és egyéb feladatok</t>
  </si>
  <si>
    <t>Reklám, reklámhordozók, programfüzetek</t>
  </si>
  <si>
    <t xml:space="preserve">Zenevilágnapja </t>
  </si>
  <si>
    <t xml:space="preserve">Családi vasárnap </t>
  </si>
  <si>
    <t>Nagy rendezvények, koncertek</t>
  </si>
  <si>
    <t>Alkotótábor</t>
  </si>
  <si>
    <t>Művészeti csoportok támogatása</t>
  </si>
  <si>
    <t>Népdalkör</t>
  </si>
  <si>
    <t>Kiállítások</t>
  </si>
  <si>
    <t xml:space="preserve">Táncház </t>
  </si>
  <si>
    <t>Gyerekműsorok</t>
  </si>
  <si>
    <t>Program előkészítés</t>
  </si>
  <si>
    <t>Magyar Kultúra Napja  (2012. év)</t>
  </si>
  <si>
    <t>Concerto Harmonia énekkar</t>
  </si>
  <si>
    <t xml:space="preserve">Szerzői jogdíj </t>
  </si>
  <si>
    <t>Művészeti-és szakmai vezetők tisztelet díja</t>
  </si>
  <si>
    <t>Színpad építés és bontás</t>
  </si>
  <si>
    <t>Egészségügyi szolgálat összesítő</t>
  </si>
  <si>
    <t xml:space="preserve">A települési önkormányzatok jövedelemdifferen-                   ciálódásának mérséklése    </t>
  </si>
  <si>
    <t xml:space="preserve">Pénzbeli szociális juttatások  </t>
  </si>
  <si>
    <t>Deák F. u. 20. óvoda berendezése</t>
  </si>
  <si>
    <t>Ipari méretű mosogatógép</t>
  </si>
  <si>
    <t>Hőtárolós ételszállító edények</t>
  </si>
  <si>
    <t>Intézmények akadálymentesítése</t>
  </si>
  <si>
    <t>Egyéb céltartalék</t>
  </si>
  <si>
    <t>Reprezentációs keret</t>
  </si>
  <si>
    <t>Tündérkert Óvoda ÖKO óvodai cím feltételeinek biztosítása</t>
  </si>
  <si>
    <t>Elismerő címek, díjak, kitüntetések</t>
  </si>
  <si>
    <t>Önállóan működő intézmények összesen:</t>
  </si>
  <si>
    <t>Tavaszi Fesztivál</t>
  </si>
  <si>
    <t xml:space="preserve">Polgárőr Egyesület </t>
  </si>
  <si>
    <t xml:space="preserve">Vecsés Közművelődéséért Alapítvány </t>
  </si>
  <si>
    <t>melegítő pult</t>
  </si>
  <si>
    <t>hőtárolós szállító edények</t>
  </si>
  <si>
    <t xml:space="preserve">     Egyéb pályázatok</t>
  </si>
  <si>
    <t>Tábori pályázatok</t>
  </si>
  <si>
    <t>Környezetvédelem</t>
  </si>
  <si>
    <t>Városi rendezvények, jubileumi rendezvénysorozatok</t>
  </si>
  <si>
    <t>Jubileumi rendezvénysorozatok</t>
  </si>
  <si>
    <t>Vállalkozás fejlesztés támogatása</t>
  </si>
  <si>
    <t>Megnevezés</t>
  </si>
  <si>
    <t>Személyi juttatások</t>
  </si>
  <si>
    <t>1.3.2.4</t>
  </si>
  <si>
    <t>1.3.2.5.</t>
  </si>
  <si>
    <t>Egyenleg</t>
  </si>
  <si>
    <t xml:space="preserve"> - Egyes szociális feladatok kiegészítő támogatása</t>
  </si>
  <si>
    <t>1.3.3.2</t>
  </si>
  <si>
    <t>Támogatásértékű bevételek, kiegészítések</t>
  </si>
  <si>
    <t>Működés célú, támogatásértékű bevételek</t>
  </si>
  <si>
    <t>Végleges pénzeszközátvétel ÁH kivülről</t>
  </si>
  <si>
    <t>Működési célú pénzeszközátvétel ÁH kivülről</t>
  </si>
  <si>
    <t>Intézmények működési bevételei</t>
  </si>
  <si>
    <t>1.3.1.1.1</t>
  </si>
  <si>
    <t>Felhalmozási és tőke jellegű bevételek /Tárgyi eszk.ért./</t>
  </si>
  <si>
    <t>1.3</t>
  </si>
  <si>
    <t>1.1.2</t>
  </si>
  <si>
    <t>1.1.3</t>
  </si>
  <si>
    <t>1.1.4</t>
  </si>
  <si>
    <t>1.1.5</t>
  </si>
  <si>
    <t>1.1.6</t>
  </si>
  <si>
    <t>1.1.7</t>
  </si>
  <si>
    <t>1.1.8</t>
  </si>
  <si>
    <t xml:space="preserve">Tárgyi eszköz értékesítés ÁFA bevétel </t>
  </si>
  <si>
    <t xml:space="preserve">Működési célú előző évi pénzmaradvány </t>
  </si>
  <si>
    <t>Pénzforgalom nélküli működési v</t>
  </si>
  <si>
    <t>1.11.1.</t>
  </si>
  <si>
    <t>Likviditási hitel felvétel Pénzügyi vállalkozástól</t>
  </si>
  <si>
    <t>Rövid lejáratú éven belüli értékpapírok</t>
  </si>
  <si>
    <t>1.12.1</t>
  </si>
  <si>
    <t>Értékpapírok vásárlása</t>
  </si>
  <si>
    <t>Pénzforgalmi működési célú bevételek összesen:</t>
  </si>
  <si>
    <t>Pénzforgalom nélküli működési bevételek összesen:</t>
  </si>
  <si>
    <t>Költségvetési működési bevételek:</t>
  </si>
  <si>
    <t>Finanszírozási működési bevételek összesen:</t>
  </si>
  <si>
    <t>II. FELHALMOZÁSI CÉLÚ BEVÉTELEK</t>
  </si>
  <si>
    <t>Hatósági jogkörhöz köthető működési bevételek</t>
  </si>
  <si>
    <t>I. MŰKÖDÉSI BEVÉTELEK</t>
  </si>
  <si>
    <t>I. MŰKÖDÉSI BEVÉTELEK ÖSSZESEN:</t>
  </si>
  <si>
    <t>Pénzügyi befektetések kiadásai</t>
  </si>
  <si>
    <t>Kölcsönnyújtás</t>
  </si>
  <si>
    <t>Felhalmozási célú hitel visszafizetése</t>
  </si>
  <si>
    <t>Sport támogatás</t>
  </si>
  <si>
    <t xml:space="preserve"> - VSE támogatás</t>
  </si>
  <si>
    <t xml:space="preserve"> - Egyéb támogatás</t>
  </si>
  <si>
    <t>Német Nemzetiségi ÖK</t>
  </si>
  <si>
    <t>1.3.1.1.2.</t>
  </si>
  <si>
    <t>Vecsés</t>
  </si>
  <si>
    <t>1.3.1.1.3.</t>
  </si>
  <si>
    <t>1.3.1.1.4.</t>
  </si>
  <si>
    <t xml:space="preserve">Ecser </t>
  </si>
  <si>
    <t>Gyömrő</t>
  </si>
  <si>
    <t>Maglód</t>
  </si>
  <si>
    <t xml:space="preserve"> Állami normatíva      </t>
  </si>
  <si>
    <t>Kiegészítő normatíva</t>
  </si>
  <si>
    <t>1.3.1.2.1.</t>
  </si>
  <si>
    <t>1.3.1.2.2.</t>
  </si>
  <si>
    <t>1.3.1.2.3.</t>
  </si>
  <si>
    <t>1.3.1.2.4.</t>
  </si>
  <si>
    <t>Önkormányzati támogatás</t>
  </si>
  <si>
    <t>1.3.1.3.1.</t>
  </si>
  <si>
    <t>1.3.1.3.2.</t>
  </si>
  <si>
    <t>Idősek nappali ellátása</t>
  </si>
  <si>
    <t>Házi segítségnyújtás</t>
  </si>
  <si>
    <t xml:space="preserve">            Állami normatíva / Gyömrő hívja le /  </t>
  </si>
  <si>
    <t>Jelzőrendszeres házi segítségnyújtás</t>
  </si>
  <si>
    <t xml:space="preserve">            Állami normatíva  / Gyömrő hívja le /   </t>
  </si>
  <si>
    <t>Egyéb támogatások</t>
  </si>
  <si>
    <t>Egyház</t>
  </si>
  <si>
    <t>Ösztöndíjak</t>
  </si>
  <si>
    <t xml:space="preserve"> - Bursa ösztöndíj</t>
  </si>
  <si>
    <t xml:space="preserve"> - Önkormányzati ösztöndíj pályázat</t>
  </si>
  <si>
    <t>2007.évi eredeti előirányzat</t>
  </si>
  <si>
    <t>Kisegítő Iskola</t>
  </si>
  <si>
    <t>TÖOSZ tagdíj</t>
  </si>
  <si>
    <t>Létszám fő</t>
  </si>
  <si>
    <t>Önkormányzati feladat szakfeladatonként</t>
  </si>
  <si>
    <t>Települési hulladék kezelés, köztisztasági tevékenység (902113)</t>
  </si>
  <si>
    <t>Szeményi juttatás</t>
  </si>
  <si>
    <t>2.3.2.</t>
  </si>
  <si>
    <t>2.3.3.</t>
  </si>
  <si>
    <t>Szennyvízelvezetés és kezelés ( 901116)</t>
  </si>
  <si>
    <t>2.5.1.</t>
  </si>
  <si>
    <t>Kisegítő mezőgazdasági tevékenység ( 014034)</t>
  </si>
  <si>
    <t>2.6.2</t>
  </si>
  <si>
    <t>2.6.3.</t>
  </si>
  <si>
    <t>2.6.4.</t>
  </si>
  <si>
    <t>Állategészségügy (852018)</t>
  </si>
  <si>
    <t>2.7.1.</t>
  </si>
  <si>
    <t>2.8.1.</t>
  </si>
  <si>
    <t>2.9.</t>
  </si>
  <si>
    <t>Egészségügyi intézmények üzemeltetési költségei (851275)</t>
  </si>
  <si>
    <t>FORD hitel törlesztés</t>
  </si>
  <si>
    <t>Fejlesztési célhitel törlesztés</t>
  </si>
  <si>
    <t>Fénymásolók lízingdíja</t>
  </si>
  <si>
    <t xml:space="preserve"> -I.</t>
  </si>
  <si>
    <t>Társulati hitel törlesztés</t>
  </si>
  <si>
    <t>Központi Konyha</t>
  </si>
  <si>
    <t>Társulati hitelek kamatai</t>
  </si>
  <si>
    <t>KIADÁS ÖSSZESEN</t>
  </si>
  <si>
    <t>9.</t>
  </si>
  <si>
    <t>11.</t>
  </si>
  <si>
    <t>12.</t>
  </si>
  <si>
    <t>1.8.</t>
  </si>
  <si>
    <t>1.9.</t>
  </si>
  <si>
    <t>1.10.</t>
  </si>
  <si>
    <t>1.11.</t>
  </si>
  <si>
    <t>1.12.</t>
  </si>
  <si>
    <t>2.4.2.</t>
  </si>
  <si>
    <t>Életjáradék</t>
  </si>
  <si>
    <t>Pályázati céltartalék</t>
  </si>
  <si>
    <t>Pályázatok benyújtásához céltartalék</t>
  </si>
  <si>
    <t xml:space="preserve">Oktatási céltartalék </t>
  </si>
  <si>
    <t>I. Ingatlan bevételi lehetőségek</t>
  </si>
  <si>
    <r>
      <t>(</t>
    </r>
    <r>
      <rPr>
        <i/>
        <sz val="11"/>
        <rFont val="Arial"/>
        <family val="2"/>
      </rPr>
      <t>Az eladásra Képviselő-testületi határozat van)</t>
    </r>
  </si>
  <si>
    <t>Hrsz</t>
  </si>
  <si>
    <t>Terület:(nm)</t>
  </si>
  <si>
    <t>Lakótelepi üzletsor üzlet alatti terület</t>
  </si>
  <si>
    <t>2/19.</t>
  </si>
  <si>
    <t>Kart-Ring üzletek alatti földterület</t>
  </si>
  <si>
    <t>6025/5-8.</t>
  </si>
  <si>
    <t>518</t>
  </si>
  <si>
    <t>6025/26</t>
  </si>
  <si>
    <t>Földterület a Wass Albert utcában</t>
  </si>
  <si>
    <t>4190/9.</t>
  </si>
  <si>
    <t>3.065</t>
  </si>
  <si>
    <t>Önkormányzati lakások</t>
  </si>
  <si>
    <t>6 db</t>
  </si>
  <si>
    <t xml:space="preserve">Elérendő minimális árbevétel:  </t>
  </si>
  <si>
    <t>kb.   40.000 e.Ft</t>
  </si>
  <si>
    <t>II. További ingatlan bevételi lehetőségek:</t>
  </si>
  <si>
    <t>(Az értékesítéshez határozat ill. egyéb intézkedés szükséges)</t>
  </si>
  <si>
    <t>- József u. 18. résztulajdon</t>
  </si>
  <si>
    <t>669</t>
  </si>
  <si>
    <t>1/4 tul.rész</t>
  </si>
  <si>
    <t>- Deák F. utcában fekvő telekrész</t>
  </si>
  <si>
    <t>4676/3</t>
  </si>
  <si>
    <t>90</t>
  </si>
  <si>
    <t>- Vigyázó F. utcában beépítetlen terület</t>
  </si>
  <si>
    <t>202/3</t>
  </si>
  <si>
    <t>354</t>
  </si>
  <si>
    <t>- Földterület (szántó)</t>
  </si>
  <si>
    <t>0220/19</t>
  </si>
  <si>
    <t>9.189</t>
  </si>
  <si>
    <t>0220/20</t>
  </si>
  <si>
    <t>8.142</t>
  </si>
  <si>
    <t>- Földterület a Wass Albert utca mellett</t>
  </si>
  <si>
    <t xml:space="preserve">  (beépítetlen terület):</t>
  </si>
  <si>
    <t>6115</t>
  </si>
  <si>
    <t>10.395</t>
  </si>
  <si>
    <t>- Beépítetlen terület</t>
  </si>
  <si>
    <t>6133</t>
  </si>
  <si>
    <t>1.315</t>
  </si>
  <si>
    <t>6136</t>
  </si>
  <si>
    <t>1.044</t>
  </si>
  <si>
    <t>6137</t>
  </si>
  <si>
    <t>2.508.</t>
  </si>
  <si>
    <t xml:space="preserve">Fő út 112. </t>
  </si>
  <si>
    <t>777</t>
  </si>
  <si>
    <t>2.836</t>
  </si>
  <si>
    <t xml:space="preserve">Elérendő minimális árbevétel  </t>
  </si>
  <si>
    <r>
      <t xml:space="preserve">Értékesítésre kijelölt ingatlanok </t>
    </r>
    <r>
      <rPr>
        <b/>
        <sz val="14"/>
        <rFont val="Arial"/>
        <family val="2"/>
      </rPr>
      <t xml:space="preserve">     (2011. évre)</t>
    </r>
  </si>
  <si>
    <t>JOGCÍM</t>
  </si>
  <si>
    <t>2010.év</t>
  </si>
  <si>
    <t>1 FŐRE JUTÓ NORMATIV</t>
  </si>
  <si>
    <t>LÉTSZÁM</t>
  </si>
  <si>
    <t>ÖSSZESEN</t>
  </si>
  <si>
    <t>Normatív állami hozzájárulás és normatív részesedésű átengedett SZJA</t>
  </si>
  <si>
    <t>Települési önkormányzatok üzemeltetési, igazgatási, sport-és kulturális feladatai</t>
  </si>
  <si>
    <t>Körzeti igazgatás</t>
  </si>
  <si>
    <t>2.a)</t>
  </si>
  <si>
    <t>Okmányirodák működése és gyámügyi igazgatási feladatok</t>
  </si>
  <si>
    <t>2 aa)</t>
  </si>
  <si>
    <t>Alaphozzájárulás</t>
  </si>
  <si>
    <t>2.ab)</t>
  </si>
  <si>
    <t xml:space="preserve">Okmányiroda működési kiadásai          </t>
  </si>
  <si>
    <t>2.ac)</t>
  </si>
  <si>
    <t xml:space="preserve">Gyámügyi igazgatási feladatok             </t>
  </si>
  <si>
    <t>2.b)</t>
  </si>
  <si>
    <t xml:space="preserve">Építésügyi igazgatási feladatok   </t>
  </si>
  <si>
    <t>2.ba)</t>
  </si>
  <si>
    <t>Térségi normatív hozzájárulás</t>
  </si>
  <si>
    <t xml:space="preserve">2.bb) </t>
  </si>
  <si>
    <t>kiegészítő hozzájárulás</t>
  </si>
  <si>
    <t xml:space="preserve">Lakott külterülettel kapcsolatos feladatok </t>
  </si>
  <si>
    <t xml:space="preserve">Szociális és gyermekjóléti alapszolgáltatás feladatai    </t>
  </si>
  <si>
    <t>11.a)</t>
  </si>
  <si>
    <t xml:space="preserve">Szociális és gyermekjóléti alapszolgáltatások általános feladatai   </t>
  </si>
  <si>
    <t>11.ab2)</t>
  </si>
  <si>
    <t xml:space="preserve">Szociális és Gyermekjóléti alapszolgáltatások általános feladatai   </t>
  </si>
  <si>
    <t>11.ca)</t>
  </si>
  <si>
    <t>Szociális étkezés (150 %)</t>
  </si>
  <si>
    <t>11.cb)</t>
  </si>
  <si>
    <t>Szociális étkezés (300 %)</t>
  </si>
  <si>
    <t>11.cc)</t>
  </si>
  <si>
    <t>Szociális étkezés (300 % felett)</t>
  </si>
  <si>
    <t>A szociális étkeztetés és az időskorúak nappali intézményi ellátását együttesen biztosítják</t>
  </si>
  <si>
    <t>11.c)</t>
  </si>
  <si>
    <t xml:space="preserve">Szociális étkeztetés </t>
  </si>
  <si>
    <t>11.f)</t>
  </si>
  <si>
    <t>Időskorúak nappali intézményi ellátása</t>
  </si>
  <si>
    <t>Gyermekek napközbeni ellátása</t>
  </si>
  <si>
    <t>14.a)</t>
  </si>
  <si>
    <t>Bölcsödei ellátás</t>
  </si>
  <si>
    <t>14.c)</t>
  </si>
  <si>
    <t>Bölcsödei ingyenes étkezés</t>
  </si>
  <si>
    <r>
      <t xml:space="preserve">Közoktatási alaphozzájárulások </t>
    </r>
    <r>
      <rPr>
        <sz val="12"/>
        <rFont val="Times New Roman CE"/>
        <family val="0"/>
      </rPr>
      <t>/teljesténymutató/</t>
    </r>
  </si>
  <si>
    <t>15.a.</t>
  </si>
  <si>
    <t>Óvodai nevelés</t>
  </si>
  <si>
    <t>Iskolai oktatás</t>
  </si>
  <si>
    <t>15.b</t>
  </si>
  <si>
    <t>Általános iskolai oktatás</t>
  </si>
  <si>
    <t>15.c</t>
  </si>
  <si>
    <t xml:space="preserve">Középfokú oktatás - gimnázium -     </t>
  </si>
  <si>
    <t>15.1.1.</t>
  </si>
  <si>
    <t xml:space="preserve">B/ Iskolai oktatás 5-8 évf. </t>
  </si>
  <si>
    <t>15.2.2.2.</t>
  </si>
  <si>
    <t xml:space="preserve">                 Iskolai szakképzés - elméleti</t>
  </si>
  <si>
    <t>15.e</t>
  </si>
  <si>
    <t xml:space="preserve">Alapfokú művészeti oktatás </t>
  </si>
  <si>
    <t>15.g</t>
  </si>
  <si>
    <t>Napközi, tanulószoba és iskola otthonos foglalkozás</t>
  </si>
  <si>
    <t>15.2.1.</t>
  </si>
  <si>
    <t>az 1. nevelési évben</t>
  </si>
  <si>
    <t>Közoktatási kiegészítő hozzájárulások</t>
  </si>
  <si>
    <t>16.c.</t>
  </si>
  <si>
    <t>Nemzetiségi oktatás támogatása összesen</t>
  </si>
  <si>
    <t>16.d)</t>
  </si>
  <si>
    <t>Kéttanítási nyelvű oktatás</t>
  </si>
  <si>
    <t>Nyelvi felkészítő évfolyam</t>
  </si>
  <si>
    <t>16.5</t>
  </si>
  <si>
    <t>Egyes ped. módszerek támogatása: alapfokú művészetoktatás</t>
  </si>
  <si>
    <t>16.eb)</t>
  </si>
  <si>
    <t>Középszintű érettségi vizsga</t>
  </si>
  <si>
    <t>16.ec)</t>
  </si>
  <si>
    <t>Szakmai, informatikai fejlesztés</t>
  </si>
  <si>
    <t>16.f</t>
  </si>
  <si>
    <t>Középfokú oktatási intézménybe bejáró tanulók ellátása</t>
  </si>
  <si>
    <t>16.1.</t>
  </si>
  <si>
    <t xml:space="preserve">     Középiskola 9-13., szakiskola 9-10. évfolyamok (12 hóra)</t>
  </si>
  <si>
    <t>16.2.</t>
  </si>
  <si>
    <t xml:space="preserve">    Szakképzési évfolyamokon</t>
  </si>
  <si>
    <t>Szociális juttatások, egyéb szolgáltatások</t>
  </si>
  <si>
    <t>17. a)</t>
  </si>
  <si>
    <t>Óvodában, iskolában kedvezményes étkeztetés</t>
  </si>
  <si>
    <t xml:space="preserve">       Óvoda</t>
  </si>
  <si>
    <t>Általános Iskola</t>
  </si>
  <si>
    <t>Középfokú oktatás</t>
  </si>
  <si>
    <t xml:space="preserve">Kiegészítő hj.az 5., 6., 7.  évfolyam ingyenes étkeztetéséhez </t>
  </si>
  <si>
    <t>nappali tanulók ingyenes tankönyvellátása</t>
  </si>
  <si>
    <t>17.2.</t>
  </si>
  <si>
    <t>Nappali tanulók tankönyv ellátásának támogatása</t>
  </si>
  <si>
    <t>17. b)</t>
  </si>
  <si>
    <t>Ingyenes tankönyv ellátás</t>
  </si>
  <si>
    <t>17.2.b)</t>
  </si>
  <si>
    <t>Általános hozzájárulás a nappali tag.tanulók tankönyvéhez</t>
  </si>
  <si>
    <t>3 számú melléklet összesen:</t>
  </si>
  <si>
    <t>Helyi kisebbségi önkormányzatok támogatása</t>
  </si>
  <si>
    <t>5. sz. mell.5.</t>
  </si>
  <si>
    <t xml:space="preserve">     !!!!!!!!!!!!!!!!!</t>
  </si>
  <si>
    <t>Pedagógusok anyagi ösztönzése</t>
  </si>
  <si>
    <t>Osztályfőnöki feladatot eláátók támogatása</t>
  </si>
  <si>
    <t>ÖSSZESEN:</t>
  </si>
  <si>
    <t>Normatív, kötött felhasználású támogatás</t>
  </si>
  <si>
    <t>I.2</t>
  </si>
  <si>
    <t>Pedagógus szakvizsga és tovább képzés (pedagógusok létszáma)</t>
  </si>
  <si>
    <t>1.b)</t>
  </si>
  <si>
    <t xml:space="preserve">       - Gimnázium 9-13 évfolyam</t>
  </si>
  <si>
    <t xml:space="preserve">       - Szakközépiskola  9-13 éfvolyam</t>
  </si>
  <si>
    <t>Szajkmai és informatikai  fejlesztési feladatok</t>
  </si>
  <si>
    <t xml:space="preserve">   -Óvoda, szakközép-,zene-, ált. iskola 1-4 évf. </t>
  </si>
  <si>
    <t>3.a1)</t>
  </si>
  <si>
    <t xml:space="preserve">   -Általános iskola  5-8. évf. ,gimnázium 9-12. évf.</t>
  </si>
  <si>
    <t>3.a2)</t>
  </si>
  <si>
    <t>3.b)</t>
  </si>
  <si>
    <t>Pedagógiai szakmai szolgáltatás</t>
  </si>
  <si>
    <t>Minőségfejlesztési faladatok</t>
  </si>
  <si>
    <t>Diáksporttal kapcsolatos feladatok</t>
  </si>
  <si>
    <t>Közcéluak (2006. adat)</t>
  </si>
  <si>
    <t>I.3.a)</t>
  </si>
  <si>
    <t>Osztályfőnöki pótlék</t>
  </si>
  <si>
    <t>II. 2.</t>
  </si>
  <si>
    <t xml:space="preserve">SZJA-ból visszahagyott 8% </t>
  </si>
  <si>
    <t>Államháztartási tartalék</t>
  </si>
  <si>
    <t>Központi költségvetési kapcsolatokból származó 2010. évi források összesen:</t>
  </si>
  <si>
    <t>hiány</t>
  </si>
  <si>
    <t xml:space="preserve"> - Osztályfőnöki pótlék</t>
  </si>
  <si>
    <t>osztályfőnöki pótlék</t>
  </si>
  <si>
    <t>1.3.1.11</t>
  </si>
  <si>
    <t>200 milliós MFB hitel (2010. évben felvett)</t>
  </si>
  <si>
    <t>2.8.1.6.</t>
  </si>
  <si>
    <t>Városi jubileumi rendezvénysorozat</t>
  </si>
  <si>
    <t>Városközpont projekt többletkiadásai</t>
  </si>
  <si>
    <t>Művelődési Központ pályázaton kívüli eszközbeszerzés                           ( éredkeltség növelő pályázat önrésze is)</t>
  </si>
  <si>
    <t>Városközpont összesen</t>
  </si>
  <si>
    <t>Bölcsöde építése összesen</t>
  </si>
  <si>
    <t>Bölcsöde építés többletkiadás</t>
  </si>
  <si>
    <t>Bölcsöde parkolójának építése a Károly utcában</t>
  </si>
  <si>
    <t>Bölcsödére energiatanúsítvány megszerzése</t>
  </si>
  <si>
    <t>ELMŰ csatlakozási díj a városközpont és a bölcsöde villamos-energia ellátásának bővítésére</t>
  </si>
  <si>
    <t>Információs akadálymentesítés</t>
  </si>
  <si>
    <t>Szelektíven gyűjtött hulladéktípusok számának növelése az intézményekben 5-ről 6-ra</t>
  </si>
  <si>
    <t>2009. évi teljesítés</t>
  </si>
  <si>
    <t>Gyömrő Városnál jelenik meg</t>
  </si>
  <si>
    <t xml:space="preserve">Kiegészítő normatíva / Gyömrő hívja le /   </t>
  </si>
  <si>
    <t>2010. év  várható teljesítés</t>
  </si>
  <si>
    <t>Fő út 60.</t>
  </si>
  <si>
    <t>705</t>
  </si>
  <si>
    <t>kb. 351.000 e.Ft</t>
  </si>
  <si>
    <t xml:space="preserve">Kiskonyha területére 300L főzőüst (gázos) </t>
  </si>
  <si>
    <t>Nagykonyha területére 400 L főzőüst (gázos)</t>
  </si>
  <si>
    <t>Nagykonyha területére 2 db gázzsámoly</t>
  </si>
  <si>
    <t>sütő</t>
  </si>
  <si>
    <t>Nagykonyha területén 120 cm x 120 cm főzőlapos platni</t>
  </si>
  <si>
    <t>Univerzális nagykonyhai robotgép kiegészítőkkel együtt</t>
  </si>
  <si>
    <t>Ételek kiszállításáhot a kisteherautóba tároló-szállító rekeszek</t>
  </si>
  <si>
    <t>légtechnikai rendszer bővítése</t>
  </si>
  <si>
    <t>1 db szállító kisteherautó</t>
  </si>
  <si>
    <t>mosó és szárítógép</t>
  </si>
  <si>
    <t>étrendtervezési program</t>
  </si>
  <si>
    <t>egyéb költségek ( műanyag raklapok, öltözőszekrények stb. )</t>
  </si>
  <si>
    <t>beszerzési költségek az eszközökhöz és egyéb kialakítási munkák</t>
  </si>
  <si>
    <t>Veszélyes hulladékgyűjtő akciók számának növelése 3-ról 5-re</t>
  </si>
  <si>
    <t>Városközpont-fejlesztő Kft megbízási szerződésének meghosszabbítása a városközpont projektre</t>
  </si>
  <si>
    <t xml:space="preserve">Tündérkert Óvoda projektjének eredményeként létrejővő új munkahelyek száma 3 </t>
  </si>
  <si>
    <t>Művelődési Ház és a Könyvtár foglalkoztatottjai számának növelése</t>
  </si>
  <si>
    <t>3.24</t>
  </si>
  <si>
    <t>3.25</t>
  </si>
  <si>
    <t>3.26</t>
  </si>
  <si>
    <t>3.27</t>
  </si>
  <si>
    <t>Káposztafest</t>
  </si>
  <si>
    <t>Telepi u.44. Családsegítő és Gyermekjóléti Szolgálat tervezése</t>
  </si>
  <si>
    <t>Buszvárók tájékoztató tábláinak cseréje</t>
  </si>
  <si>
    <t>Elektromos közvilágítás hálozat bővítése</t>
  </si>
  <si>
    <t>Térfigyelő rendszer bővítése</t>
  </si>
  <si>
    <t>Klímastratégia előkészítése, megvalósítása</t>
  </si>
  <si>
    <t>Utólagos csatornabekötések</t>
  </si>
  <si>
    <t>Epres területén elektromos ellátás bővítése</t>
  </si>
  <si>
    <t>Esetenkénti tervezési feladatok</t>
  </si>
  <si>
    <t>Temető bővítéséhez a cserélt terület bekerítése</t>
  </si>
  <si>
    <t>Temető kerítés pótlás (Mátyás utcai oldal)</t>
  </si>
  <si>
    <t>Meglévő térfiegyelő rendszer karbantartásához eszközök bizt.</t>
  </si>
  <si>
    <t>Úttervezések készítése</t>
  </si>
  <si>
    <t>Belső forgalomtechnikai terv megvalósítása</t>
  </si>
  <si>
    <t>Járdaépítéshez sóder biztosítása</t>
  </si>
  <si>
    <t>Járdaépítéshez térkő biztosítása</t>
  </si>
  <si>
    <t>Csapadékvíz elvezetési munkálatok</t>
  </si>
  <si>
    <t>Járdajavítás és építés</t>
  </si>
  <si>
    <t>Temető kerítés felújítás (főbejárat és Mátyás u. között)</t>
  </si>
  <si>
    <t>Kispatak Lakópark csapadékvíz elvezetés korrekció</t>
  </si>
  <si>
    <t>CBA körforgalom kertészet</t>
  </si>
  <si>
    <t>Gyalogos átkelőhely (Lőrinci út: állomás bejárat)</t>
  </si>
  <si>
    <t>Szondi utca: aszfaltozás (Besztercei-Küküllői)</t>
  </si>
  <si>
    <t>Széchenyi úti árok burkolása (Széchenyi u. 69. - Görgey u.)</t>
  </si>
  <si>
    <t>Hunyadi utca: aszfaltozás</t>
  </si>
  <si>
    <t>Tamás utca: aszfaltozás</t>
  </si>
  <si>
    <t>Kodály Z. utca: aszfaltozás</t>
  </si>
  <si>
    <t>Liszt F. utca: aszfaltozás</t>
  </si>
  <si>
    <t>Város utca útkorszerűsítése</t>
  </si>
  <si>
    <t>Dózsa Gy. út: járda térkő burkolása (Lórántffy - körforg.)</t>
  </si>
  <si>
    <t>Zöldfa u. -Kereszt u. - Róder I u. felújítása</t>
  </si>
  <si>
    <t>Halmy utca: aszfaltozás</t>
  </si>
  <si>
    <t>Külső gyáli utca: útépítés</t>
  </si>
  <si>
    <t>Epres: szobor elhelyezése</t>
  </si>
  <si>
    <t>Petőfi Iskola udvara és környékének felújítás (anyag költség)</t>
  </si>
  <si>
    <t>Wesselényi utca: aszfaltozás</t>
  </si>
  <si>
    <t>Szabadkai utca folytatásának felújítása</t>
  </si>
  <si>
    <t>Hársfa utca: aszfaltozás</t>
  </si>
  <si>
    <t>Telepi úti járda viacolor burkolása: (Posta - Emlékmű)</t>
  </si>
  <si>
    <t>Halmi Téri iskola körüli parkoló (tervezés-kivitelezés)</t>
  </si>
  <si>
    <t>Budai N. A. út: árokmeder burkolás (Zrínyi u. - Gyáli Patak)</t>
  </si>
  <si>
    <t>Telepi út: árokmeder burkolás</t>
  </si>
  <si>
    <t>Toldy F. utca felújítása</t>
  </si>
  <si>
    <t>Bajcsy-Zs. út felújítása</t>
  </si>
  <si>
    <t>Kinizsi utca: korszerűsítés</t>
  </si>
  <si>
    <t>Virág utca - Telepi út csatlakozás kiépítése</t>
  </si>
  <si>
    <t>Lőrinci út: átereszek építése, árok kialakítása</t>
  </si>
  <si>
    <t>2 lakópark csapadékvíz elvezető rendszer karbantartása</t>
  </si>
  <si>
    <t>KÖGYÓ árok mederkotrás</t>
  </si>
  <si>
    <t>Lőrinci út - Dózsa Gy. út árokburkolás javítása</t>
  </si>
  <si>
    <t>P+R parkoló árokburkolás (Lőrinci út)</t>
  </si>
  <si>
    <t>P+R parkoló árokburkolás (belső parkoló)</t>
  </si>
  <si>
    <t>Ügyességi pálya tervezése, kialakítása</t>
  </si>
  <si>
    <t>Közterületek karbantartása</t>
  </si>
  <si>
    <t>Bálint Ágnes Óvoda belső kerítés bontása</t>
  </si>
  <si>
    <t>Bálint Ágnes Óvoda melletti épület bontásának tervezése</t>
  </si>
  <si>
    <t>Bálint Ágnes Óvoda melletti épület bontása</t>
  </si>
  <si>
    <t>Deák F. u. 20. parkoló kialakítása</t>
  </si>
  <si>
    <t>Deák F. u. 20. pótmunkái</t>
  </si>
  <si>
    <t>Deák F. u. 20. tűzcsap kiépítése</t>
  </si>
  <si>
    <t>Deák F. u. 20. tanúsítványok, egyéb költségek</t>
  </si>
  <si>
    <t>Fő út 49. épületfelújítás</t>
  </si>
  <si>
    <t>Ravatalozó engedélyezési és kiviteli tervezése</t>
  </si>
  <si>
    <t>Temető: Ecseri úti járda építése</t>
  </si>
  <si>
    <t>Temetőben emlékhelyek kialakítása</t>
  </si>
  <si>
    <t>Temetőben közvilágítás kiépítése</t>
  </si>
  <si>
    <t>Polgármesteri  Hivatal tetőfedés csere</t>
  </si>
  <si>
    <t>Polgármesteri  Hivatal külső nyílászáróinak cseréje</t>
  </si>
  <si>
    <t>Polgármesteri Hivatal fűtésrendszer korszerűsítése</t>
  </si>
  <si>
    <t>Polgármesteri Hivatal telefonközpont felújítása</t>
  </si>
  <si>
    <t>Bölcsőde: tanúsítványok, egyéb költségek</t>
  </si>
  <si>
    <t xml:space="preserve">Szünetmentes </t>
  </si>
  <si>
    <t>Térinformatika</t>
  </si>
  <si>
    <t>Laptop vásárlás</t>
  </si>
  <si>
    <t>2.8.1.7.</t>
  </si>
  <si>
    <t>200 milliós MFB fejlesztési hitel</t>
  </si>
  <si>
    <t>Egyéb oktatási célok feladatok                                                                    (Kisegítő Iskolások 856099)</t>
  </si>
  <si>
    <t>Egyéb (néptánc, kult.kiadv., sport, egyéb)</t>
  </si>
  <si>
    <t>Néptánc, színjátszás</t>
  </si>
  <si>
    <t>Sportutánpótlás</t>
  </si>
  <si>
    <t>2.4.3.</t>
  </si>
  <si>
    <t>Reprezentációs anyag</t>
  </si>
  <si>
    <t>2.4.4.</t>
  </si>
  <si>
    <t>Kulturális kiadványok</t>
  </si>
  <si>
    <t>2.4.5.</t>
  </si>
  <si>
    <t>Ünnepségek, rendezvények</t>
  </si>
  <si>
    <t>2.4.6.</t>
  </si>
  <si>
    <t>2.4.7.</t>
  </si>
  <si>
    <t>Tartalék</t>
  </si>
  <si>
    <t>Családsegítő nyári tábor</t>
  </si>
  <si>
    <t>Iskolák közötti sportvereseny</t>
  </si>
  <si>
    <t>Testvérvárosi kapcsolatok</t>
  </si>
  <si>
    <t>Rendezvények támogatása</t>
  </si>
  <si>
    <t>3.6.1.</t>
  </si>
  <si>
    <t xml:space="preserve"> - Káposztafeszt</t>
  </si>
  <si>
    <t>3.6.2.</t>
  </si>
  <si>
    <t>1.6.2.1.</t>
  </si>
  <si>
    <t>1.6.2.1.1</t>
  </si>
  <si>
    <t>1.6.2.1.2</t>
  </si>
  <si>
    <t>1.6.2.1.3</t>
  </si>
  <si>
    <t>1.6.2.2</t>
  </si>
  <si>
    <t>1.6.2.3</t>
  </si>
  <si>
    <t>1.6.2.4</t>
  </si>
  <si>
    <t>1.6.2.5</t>
  </si>
  <si>
    <t>1.6.2.6</t>
  </si>
  <si>
    <t xml:space="preserve"> -Tavaszi fesztivál</t>
  </si>
  <si>
    <t>3.6.3.</t>
  </si>
  <si>
    <t xml:space="preserve"> - Városi rendezvények</t>
  </si>
  <si>
    <t>3.6.4.</t>
  </si>
  <si>
    <t xml:space="preserve"> - Jubileumi házassági évfordulók</t>
  </si>
  <si>
    <t>3.6.5.</t>
  </si>
  <si>
    <t xml:space="preserve"> - Felsőtelepi rendezvények</t>
  </si>
  <si>
    <t>3.6.6.</t>
  </si>
  <si>
    <t xml:space="preserve"> - Halmi Telepi rendezvények</t>
  </si>
  <si>
    <t>Intézmények értintésvédelmi  és tűzbiztonsági jkv-ben feltárt hiányosságok javítási költségeire</t>
  </si>
  <si>
    <t>Idegenforgalmi kiadványok( naptárok, ismertetők stb.)</t>
  </si>
  <si>
    <t>Vis major keret</t>
  </si>
  <si>
    <t>2009. évi eredeti előirányzat</t>
  </si>
  <si>
    <t>2009. évi tervezett előirányzat</t>
  </si>
  <si>
    <t>Működési egyenleg</t>
  </si>
  <si>
    <t>Felhalmozási bevételek</t>
  </si>
  <si>
    <t>felhalmozási kiadások</t>
  </si>
  <si>
    <t>felhalmozási egyenleg</t>
  </si>
  <si>
    <t>Lakóingatlan lakbér /ök. lakás/</t>
  </si>
  <si>
    <t>Petőfi Sándor Általános Iskola és Gimnázium  bevétel összesen:</t>
  </si>
  <si>
    <t>Petőfi Sándor Általános Iskola és Gimnázium kiadás összesen:</t>
  </si>
  <si>
    <t xml:space="preserve">Gimnázium </t>
  </si>
  <si>
    <t xml:space="preserve"> - Diáksporttal kapcsolatos feladatok</t>
  </si>
  <si>
    <t>TÁMOP pályázatok 1. és 2. kör</t>
  </si>
  <si>
    <t>Zajvédelmi stratégiai intézkedési tevkészítése, zajcsökkentés</t>
  </si>
  <si>
    <t>Európai Mobilitas hét</t>
  </si>
  <si>
    <t>Veszélyes hulladék begyűjtésének megszervezése</t>
  </si>
  <si>
    <t>Nevelési tanácsadó</t>
  </si>
  <si>
    <t>Szakértői díj</t>
  </si>
  <si>
    <t>90., 95. és 100. évesek ajándékozása</t>
  </si>
  <si>
    <t xml:space="preserve"> -Idegenforgalmi adó</t>
  </si>
  <si>
    <t>1.2.1.6.</t>
  </si>
  <si>
    <t xml:space="preserve">Kötvény törlesztés 700 millió </t>
  </si>
  <si>
    <t xml:space="preserve">300 milliós értékpapír kibocsátás után fizetendő kamat                   </t>
  </si>
  <si>
    <t xml:space="preserve">700 millió értékpapír kibocsátás után fizetendő kamat                   </t>
  </si>
  <si>
    <t>Rehabilitációs hozzájárulás</t>
  </si>
  <si>
    <t>Városközpont önrész 216/2009. (X.20.) hat.</t>
  </si>
  <si>
    <t>Városközpont-fejlesztő Kft felügyelő bizottsági tagok díjazása 182/2009. (VIII.31.)</t>
  </si>
  <si>
    <t>Sportlétesítmények létesítése</t>
  </si>
  <si>
    <t>Bölcsöde építése KMOP-2009-4.5.2 önrész</t>
  </si>
  <si>
    <t>Nettó</t>
  </si>
  <si>
    <t>Bruttó</t>
  </si>
  <si>
    <t>INTÉZMÉNYI FELÚJÍTÁSI KIADÁSOK</t>
  </si>
  <si>
    <t>Falusi Általános Iskola</t>
  </si>
  <si>
    <t>2.2.3</t>
  </si>
  <si>
    <t>2.3.1</t>
  </si>
  <si>
    <t>Halmi Telepi Ált.Iskola</t>
  </si>
  <si>
    <t>Bálint Ágnes Óvoda</t>
  </si>
  <si>
    <t>2.8.1</t>
  </si>
  <si>
    <t>Önkormányzati lakások lakbér</t>
  </si>
  <si>
    <t>2.3.1.3.</t>
  </si>
  <si>
    <t>EU-s költségvetésből</t>
  </si>
  <si>
    <t>Értékpapírok beváltása</t>
  </si>
  <si>
    <t>Felújítási kiadások összesen</t>
  </si>
  <si>
    <t>Városi fejlesztés</t>
  </si>
  <si>
    <t>Petőfi Sándor Általános Iskola és Gimnázium</t>
  </si>
  <si>
    <t>Értékpapír kibocsátás után fizetendő óvadék</t>
  </si>
  <si>
    <t>2.8.1.2.</t>
  </si>
  <si>
    <t>PÉNZFORGALMI MŰKÖDÉSI BEVÉTELEK</t>
  </si>
  <si>
    <t>2.1</t>
  </si>
  <si>
    <t>2.2</t>
  </si>
  <si>
    <t>2.3</t>
  </si>
  <si>
    <t>2.5</t>
  </si>
  <si>
    <t>PÉNZFORGALMI MŰKÖDÉSI KIADÁSOK</t>
  </si>
  <si>
    <t>2007.09.30 módosított előirányzat</t>
  </si>
  <si>
    <t>MŰKÖDÉSI KIADÁSOK</t>
  </si>
  <si>
    <t>Egyéb finanszirozási bevétel</t>
  </si>
  <si>
    <t>Bevételek főösszege finanszírozási műv nélkül</t>
  </si>
  <si>
    <t>Kiadási főösszeg finanszírozási kiadások nálkül</t>
  </si>
  <si>
    <t>Finanszírozási műveletek bev.</t>
  </si>
  <si>
    <t>Finanszírozási műv kiadásai</t>
  </si>
  <si>
    <t>Eü +</t>
  </si>
  <si>
    <t>össz.</t>
  </si>
  <si>
    <t>NKÖK</t>
  </si>
  <si>
    <t>össz:</t>
  </si>
  <si>
    <t>intézmény</t>
  </si>
  <si>
    <t>Útépítések, közutak, járdák</t>
  </si>
  <si>
    <t>Egy napos sebészeti ellátás 862220</t>
  </si>
  <si>
    <t>Foglalkozás-egészségügyi alapellátás 862231</t>
  </si>
  <si>
    <t>2010. évi Eredeti előirányzat</t>
  </si>
  <si>
    <t>bér</t>
  </si>
  <si>
    <t>TB</t>
  </si>
  <si>
    <t>dologi</t>
  </si>
  <si>
    <t>Tb</t>
  </si>
  <si>
    <t>Intézmények összesen:</t>
  </si>
  <si>
    <t>Önállóan működő intézmények KIADÁS összesen:</t>
  </si>
  <si>
    <t>Önállóan működő intézmények BEVÉTEL összesen:</t>
  </si>
  <si>
    <t>2011. évi eredeti előirányzat</t>
  </si>
  <si>
    <t>2011. év</t>
  </si>
  <si>
    <t>2011. eredeti</t>
  </si>
  <si>
    <t>2011. évi Eredeti előirányzat</t>
  </si>
  <si>
    <t>2013. évi számított előirányzat</t>
  </si>
  <si>
    <t>2011. évi tervezett előirányzat</t>
  </si>
  <si>
    <t xml:space="preserve">2011. eredeti EI </t>
  </si>
  <si>
    <t>2011. előtti kifizetés</t>
  </si>
  <si>
    <t>2013.</t>
  </si>
  <si>
    <t>2013. 
után</t>
  </si>
  <si>
    <t>2013. után</t>
  </si>
  <si>
    <t>"Sikeres Magyarországért" ÖKIF hitelprogram</t>
  </si>
  <si>
    <t>Lincoln utca vízvédelmi jelzőrendszer kiépítése</t>
  </si>
  <si>
    <t>Egyéb fejlesztések</t>
  </si>
  <si>
    <t>Bálint Ágnes Óvoda kivitelezése</t>
  </si>
  <si>
    <t>Bálint Ágnes Óvoda engedélyezési terv</t>
  </si>
  <si>
    <t>Ravatalozó kivitelezése</t>
  </si>
  <si>
    <t>Halmi téri szobor elhelyezése</t>
  </si>
  <si>
    <t>Intézményi fejlesztési kiadások</t>
  </si>
  <si>
    <t>Fejlesztési kiadások összesen</t>
  </si>
  <si>
    <t>Számítástechnika</t>
  </si>
  <si>
    <t>Bálint Ágnes Óvoda kiviteli terv</t>
  </si>
  <si>
    <t>VÁROSI FELÚJÍTÁSOK</t>
  </si>
  <si>
    <t>4.</t>
  </si>
  <si>
    <t>2010.Teljesítés</t>
  </si>
  <si>
    <t>Óvodáztatási támogatás</t>
  </si>
  <si>
    <t>Szociális továbbképzés és szakvizsga támogatás</t>
  </si>
  <si>
    <t>Magyar Kultúra Napja  (2011. év)</t>
  </si>
  <si>
    <t xml:space="preserve"> - ebből "Bozsik program"</t>
  </si>
  <si>
    <t>Kötött felhasználású normatíva</t>
  </si>
  <si>
    <t>Támogatások utalásának kezelési költsége</t>
  </si>
  <si>
    <t>Társönkormányzatoknak átadott</t>
  </si>
  <si>
    <t>Ecser</t>
  </si>
  <si>
    <t xml:space="preserve">Gyermekfelügyelet </t>
  </si>
  <si>
    <t xml:space="preserve">Viziközmű Társulat csatorna hitel II. </t>
  </si>
  <si>
    <t xml:space="preserve">Viziközmű Társulat csatorna hitel III. </t>
  </si>
  <si>
    <t>2.8.1.3.</t>
  </si>
  <si>
    <t>2.8.1.4.</t>
  </si>
  <si>
    <t>II. hitel</t>
  </si>
  <si>
    <t>III. hitel</t>
  </si>
  <si>
    <t xml:space="preserve">Egyéb banki járulékok </t>
  </si>
  <si>
    <t>Sportpálya korszerűsítés MFB hitel</t>
  </si>
  <si>
    <t>2.8.1.5.</t>
  </si>
  <si>
    <t>2.4.8.</t>
  </si>
  <si>
    <t>2010.eredeti EI</t>
  </si>
  <si>
    <t>Rendszeres gyvkedv. kiegészítő gyermevédelmi támogatás</t>
  </si>
  <si>
    <t>Előző évi előírányzat-, pénzmaradvány átadás</t>
  </si>
  <si>
    <t>Pénzforgalmi műk. célú ktgvet.-i kiadások összesen:</t>
  </si>
  <si>
    <t>2.8</t>
  </si>
  <si>
    <t>2.7</t>
  </si>
  <si>
    <t>Önk. felhalmozási és tőke jellegű bevételei</t>
  </si>
  <si>
    <t>Tám. kölcsönök visszatérülése, igénybevétele</t>
  </si>
  <si>
    <t>Pénzforgalmi felhalm. célú költségvetési bevételek:</t>
  </si>
  <si>
    <t>Kisebbségi Önk. felújítási kiadásai (nettó)</t>
  </si>
  <si>
    <t>Kisebbségi Önk. felújítási kiadásainak Áfa része</t>
  </si>
  <si>
    <t>Kisebbségi Önk. beruházási kiadásai (nettó)</t>
  </si>
  <si>
    <t>Kisebbségi Önk. beruházási kiadásainak Áfa része</t>
  </si>
  <si>
    <t>Költségvetési működési kiadások:</t>
  </si>
  <si>
    <t>Tám.kölcsönök visszatérülése, igénybevétele</t>
  </si>
  <si>
    <t>Pénzforgalmi felhalm. célú költségvetési kiadások:</t>
  </si>
  <si>
    <t>Normatíva, kötött felhasználású támogatás</t>
  </si>
  <si>
    <t>Működési célú, támogatásértékű bev. szervezetektől</t>
  </si>
  <si>
    <t>Tárgyi eszközök, immat. javak értékesítése</t>
  </si>
  <si>
    <t xml:space="preserve">Gép, berendezés </t>
  </si>
  <si>
    <r>
      <t>Közműfejlesztésre társulattól (</t>
    </r>
    <r>
      <rPr>
        <sz val="9"/>
        <rFont val="Times New Roman"/>
        <family val="1"/>
      </rPr>
      <t>Társulati hit. kezességvállalása</t>
    </r>
    <r>
      <rPr>
        <sz val="11"/>
        <rFont val="Times New Roman"/>
        <family val="1"/>
      </rPr>
      <t>)</t>
    </r>
  </si>
  <si>
    <t>Felhalm. kölcsön nyújtása / kamatmentes kölcsön /</t>
  </si>
  <si>
    <t>MŰKÖD. ÉS FELHALM. BEVÉTELEK ÖSSZESEN</t>
  </si>
  <si>
    <t>Bevételek után fizetendő Áfa /Bérl. díj stb./</t>
  </si>
  <si>
    <t>Önkormányzat által folyósított ellátások posta ktg.</t>
  </si>
  <si>
    <t>Postaköltség</t>
  </si>
  <si>
    <t>Végleges pénzeszközátadás Áh.  kivülre</t>
  </si>
  <si>
    <t>Vecsési Tájházért Alapítvány</t>
  </si>
  <si>
    <t>Vecsési Sportakadémia Kft.</t>
  </si>
  <si>
    <t>Monor V . Polg. Véd.</t>
  </si>
  <si>
    <t xml:space="preserve">Egyéb pe. átadás háztartásoknak </t>
  </si>
  <si>
    <t>Egyéb pe. átadás GYÁVIV Kft.</t>
  </si>
  <si>
    <t>Felhalmozási és tőke jellegű bevételek /Tárgyi eszk. ért./</t>
  </si>
  <si>
    <t>2..2.</t>
  </si>
  <si>
    <t>Helyiségek eseti bérbeadása, egyéb bevétel</t>
  </si>
  <si>
    <t>Egyéb bevételek (fénymásolás, gép ber. értékesítés)</t>
  </si>
  <si>
    <t>PÉNZFORGALOM NÉLKÜLI MŰK. BEVÉTELEK</t>
  </si>
  <si>
    <t>PÉNZFORGALOM NÉLKÜLI MŰK. KIADÁSOK</t>
  </si>
  <si>
    <t>Felújítási kiadások nettó összeg</t>
  </si>
  <si>
    <t>Beruházási kiadások ÁFA</t>
  </si>
  <si>
    <t>Beruházási kiadások nettó összeg</t>
  </si>
  <si>
    <t>Felújítási kiadások ÁFA</t>
  </si>
  <si>
    <t>1.4.2.</t>
  </si>
  <si>
    <t>1.4.3.</t>
  </si>
  <si>
    <t xml:space="preserve"> Ezer forintban</t>
  </si>
  <si>
    <t>Sor-
szám</t>
  </si>
  <si>
    <t>Kötelezettség jogcíme</t>
  </si>
  <si>
    <t>Köt. váll.
 éve</t>
  </si>
  <si>
    <t>Összesen</t>
  </si>
  <si>
    <t>2010.</t>
  </si>
  <si>
    <t>2011.</t>
  </si>
  <si>
    <t>2012.</t>
  </si>
  <si>
    <t>9=(4+5+6+7+8)</t>
  </si>
  <si>
    <t>Működési célú hiteltörlesztés (tőke+kamat)</t>
  </si>
  <si>
    <t>Felhalmozási célú hiteltörlesztés (tőke+kamat)</t>
  </si>
  <si>
    <t>Intézményi világítás korszerűsítés                        ( MFB refinanszírozott hitel)</t>
  </si>
  <si>
    <t>"Sikeres Magyarországért" ÖKIF hitelprogram (200 millió)</t>
  </si>
  <si>
    <t>300.000.000 Ft értékű kötvénykibocsátás</t>
  </si>
  <si>
    <t>700.000.000 Ft értékű kötvénykibocsátás</t>
  </si>
  <si>
    <t>Vecsési Futball létesítmények korszerűsítése ÖKIF hitelprogram</t>
  </si>
  <si>
    <t>Beruházás feladatonként</t>
  </si>
  <si>
    <t>Felújítás célonként</t>
  </si>
  <si>
    <t xml:space="preserve">Egyéb </t>
  </si>
  <si>
    <t>Társulati hitel III. ütem</t>
  </si>
  <si>
    <t>Összesen (1+3+9+11+13)</t>
  </si>
  <si>
    <t>Az intézményi világítás korszerűsítés megvalósítására 2006. évben az  MFB által refinanszírozott hitel felvételével került sor, melynek visszafizetési ütemezését a táblázat 5. sora mutatja be.</t>
  </si>
  <si>
    <t>A beruházások finanszírozására 2007. évben 300.000.000 Ft értékben kötvényt bocsátott ki az Önkormányzat. Az esedékes fizetési kötelezettség a táblázat 6. során látható.</t>
  </si>
  <si>
    <t>A Képviselő-testület a 230/2007 (XII. 18.) számú határozata alapján 2008. évben 700.000.000 Ft kötvény kibocsátásra kerül sor. A táblázat 7. sora tartalmazza a jelen ismeretek alapján prognosztizált ütemezését.</t>
  </si>
  <si>
    <t>A Viziközmű Társulat által felvett csatorna beruházási hitel törlesztéséhez Vecsés Város Önkormányzata kézfizető kezességet vállalt, mely éves ütemezése atáblázat 14., 15. során megtekinthető.</t>
  </si>
  <si>
    <t>EU-s projekt neve, azonosítója:</t>
  </si>
  <si>
    <t>Vecsés városközpontjának funkcióbővítő fejlesztése és rehabilitációja KMOP-5.2.1/B-2f-2009-0013</t>
  </si>
  <si>
    <t>ezer forintban</t>
  </si>
  <si>
    <t>Források</t>
  </si>
  <si>
    <t>2011.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</si>
  <si>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</si>
  <si>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</si>
  <si>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</si>
  <si>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</si>
  <si>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</si>
  <si>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</si>
  <si>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</si>
  <si>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</si>
  <si>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</si>
  <si>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</si>
  <si>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</si>
  <si>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</si>
  <si>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</si>
  <si>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ÁROP-3.A.1/A-2008-0024</t>
  </si>
  <si>
    <t>A Tündérkert Óvoda bővítése felújítása és eszközbeszerzése KMOP-4.5.1/B-2-2008-0181</t>
  </si>
  <si>
    <t>Önkormányzaton kívüli EU-s projektekhez történő hozzájárulás 2010. évi előir.</t>
  </si>
  <si>
    <t>Parkolók és csomópontok építése és fejlesztése a BKSZ területén,                          KMOP-2.3.1/C-2008-0008</t>
  </si>
  <si>
    <t>Renewable Energies Transfer System</t>
  </si>
  <si>
    <t xml:space="preserve"> ezer forintban </t>
  </si>
  <si>
    <t>Sor-szám</t>
  </si>
  <si>
    <t>Bevételi jogcím</t>
  </si>
  <si>
    <t>Kedvezmény nélkül elérhető bevétel</t>
  </si>
  <si>
    <t>Kedvezmények összege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</si>
  <si>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</si>
  <si>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</si>
  <si>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</si>
  <si>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</si>
  <si>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r>
      <t>…………..-ból biztosított kedvezmény, mentesség</t>
    </r>
    <r>
      <rPr>
        <sz val="8"/>
        <rFont val="Times New Roman"/>
        <family val="1"/>
      </rPr>
      <t>*</t>
    </r>
  </si>
  <si>
    <t>…………..-ból biztosított kedvezmény, mentesség*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</si>
  <si>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</si>
  <si>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</si>
  <si>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</si>
  <si>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</si>
  <si>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</si>
  <si>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*</t>
  </si>
  <si>
    <t>A helyi adókból biztosított kedvezményeket, mentességeket, adónemenként kell feltüntetni.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</si>
  <si>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</si>
  <si>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</si>
  <si>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</si>
  <si>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</si>
  <si>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</si>
  <si>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</si>
  <si>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</si>
  <si>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</si>
  <si>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</si>
  <si>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</si>
  <si>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</si>
  <si>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</si>
  <si>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Pénzkészlet</t>
  </si>
  <si>
    <t>Támogatások</t>
  </si>
  <si>
    <t>Felhalmozási és tőkejellegű bev.</t>
  </si>
  <si>
    <t>Támogatásértékű bevételek</t>
  </si>
  <si>
    <t>Átvett pénzeszközök</t>
  </si>
  <si>
    <t>Előző évi pénzmaradvány</t>
  </si>
  <si>
    <t>Előző évi vállalkozási eredmény</t>
  </si>
  <si>
    <t>Egyéb bevételek</t>
  </si>
  <si>
    <t>Járulékok</t>
  </si>
  <si>
    <t>Dologi jellegű kiadások</t>
  </si>
  <si>
    <t>Felhalm. és tőkejell. kiadások</t>
  </si>
  <si>
    <t>Támogatások, elvonások</t>
  </si>
  <si>
    <t>Ellátottak pénzbeli juttatása</t>
  </si>
  <si>
    <t>Hitelek kamatai</t>
  </si>
  <si>
    <t>Egyéb kiadások</t>
  </si>
  <si>
    <t xml:space="preserve"> ezer forintban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</si>
  <si>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</si>
  <si>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</si>
  <si>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</si>
  <si>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</si>
  <si>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</si>
  <si>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</si>
  <si>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Intézményi világítás korszerűsítés                               MFB refinanszírozott hitel</t>
  </si>
  <si>
    <t>300. mo. Ft kötvény kibocsátás</t>
  </si>
  <si>
    <t>700. mo. Ft kötvény kibocsátás</t>
  </si>
  <si>
    <t xml:space="preserve">2008. </t>
  </si>
  <si>
    <t>Összesen (1+6)</t>
  </si>
  <si>
    <t>2012. évi számított előirányzat</t>
  </si>
  <si>
    <t>Végleges pénzeszközátvétel Áh.  kivülről</t>
  </si>
  <si>
    <t>Végleges pénzeszközátadás Áh. kivülre</t>
  </si>
  <si>
    <t>Pénzforgalmi műk.célú ktgvet.-i kiadások összesen:</t>
  </si>
  <si>
    <t>Költségvetési működési kiadásokk:</t>
  </si>
  <si>
    <t>Végleges pénzeszköz átvétel Áh. kivülről</t>
  </si>
  <si>
    <t>Felújítási kiadások ÁFA része</t>
  </si>
  <si>
    <t>Beruházási kiadások ÁFA része</t>
  </si>
  <si>
    <t>2009. év</t>
  </si>
  <si>
    <t>Illetékek</t>
  </si>
  <si>
    <t>Környezetvédelmi bírság</t>
  </si>
  <si>
    <t>Egyéb sajátos bevételek</t>
  </si>
  <si>
    <t>Saját folyó bevételek (01+ …+05)</t>
  </si>
  <si>
    <t>Előző év(ek)ben keletkezett tárgyévet terhelő fizetési kötelezettség (08+…+14)</t>
  </si>
  <si>
    <t>Támogatási kölcsönök törlesztése ÁH-n belülre</t>
  </si>
  <si>
    <t>Hosszú lejáratú hitelek visszafizetése</t>
  </si>
  <si>
    <t>Rövidlejáratú hitelek visszafizetése</t>
  </si>
  <si>
    <t>Külföldi finanszírozás kiadási</t>
  </si>
  <si>
    <t>Kötvény kibocsátásból származó fizetési kötelezettség</t>
  </si>
  <si>
    <t>Lízingdíj</t>
  </si>
  <si>
    <t>Garancia és kezességvállalásból származó fizetési kötelezettség</t>
  </si>
  <si>
    <t>Kamatfizetési kötelezettség 08-14 sorok után</t>
  </si>
  <si>
    <t>Rövid lejáratú kötelezettségek (07+15)</t>
  </si>
  <si>
    <t>Hitelfelvételi korlát (06-16) x 0,7</t>
  </si>
  <si>
    <t>Támogatott szervezet neve</t>
  </si>
  <si>
    <t>Támogatás célja</t>
  </si>
  <si>
    <t>Támogatás összge 
(e Ft)</t>
  </si>
  <si>
    <t xml:space="preserve">működési, fejlesztési kiadások </t>
  </si>
  <si>
    <t>Polgárőr Egyesület</t>
  </si>
  <si>
    <t>működési kiadások</t>
  </si>
  <si>
    <t xml:space="preserve">működési kiadások </t>
  </si>
  <si>
    <t xml:space="preserve">Vecsési Sportakadémia Kft. </t>
  </si>
  <si>
    <t xml:space="preserve">   -ebből Bozsik program</t>
  </si>
  <si>
    <t>3.9</t>
  </si>
  <si>
    <t>3.10.1</t>
  </si>
  <si>
    <t>3.10.2</t>
  </si>
  <si>
    <t>3.10.3</t>
  </si>
  <si>
    <t>3.10.4</t>
  </si>
  <si>
    <t>3.11</t>
  </si>
  <si>
    <t>3.12</t>
  </si>
  <si>
    <t>3.13</t>
  </si>
  <si>
    <t>3.14</t>
  </si>
  <si>
    <t>3.14.1.</t>
  </si>
  <si>
    <t>3.14.1.1</t>
  </si>
  <si>
    <t>3.14.1.2</t>
  </si>
  <si>
    <t>3.14.1.3</t>
  </si>
  <si>
    <t>3.14.1.4</t>
  </si>
  <si>
    <t>3.14.1.5</t>
  </si>
  <si>
    <t>3.14.1.6</t>
  </si>
  <si>
    <t>3.14.1.7</t>
  </si>
  <si>
    <t>3.15</t>
  </si>
  <si>
    <t>3.16</t>
  </si>
  <si>
    <t>3.17</t>
  </si>
  <si>
    <t>3.21</t>
  </si>
  <si>
    <t>2009. évi tervezet</t>
  </si>
  <si>
    <t xml:space="preserve">INTERREG IVC interregionális európai uniós pályázat                              21/2009. (II. 12.) hat. </t>
  </si>
  <si>
    <t>Vecsési Fúvószenekari Alapítvány</t>
  </si>
  <si>
    <t>Önállóan működő intézmények neve</t>
  </si>
  <si>
    <t>Működési célú támogatásértékű kiadás a Vecsési Egészségügyi Szolgálatnak</t>
  </si>
  <si>
    <t>Intézményi támogatásból származó halmozódás kiszűrése:</t>
  </si>
  <si>
    <t>POLGÁRMESTERI HIVATAL BEVÉTELEI ÖSSZESEN:</t>
  </si>
  <si>
    <t>Fejlesztési céltartalék</t>
  </si>
  <si>
    <t>Céltartalék összesen</t>
  </si>
  <si>
    <t>1.1.1.1.</t>
  </si>
  <si>
    <t>2008.09.30. módosított előirányzat</t>
  </si>
  <si>
    <t xml:space="preserve"> - NKA: Alkotütábor</t>
  </si>
  <si>
    <t>- NKA: Szakmai tev., művészeti találkozók támogatása</t>
  </si>
  <si>
    <t xml:space="preserve">- NKA: Szamai előadássorozat </t>
  </si>
  <si>
    <t>-GYISM: Alkotótábor</t>
  </si>
  <si>
    <t>- Pest Megye Önk.: Alkotoótábor</t>
  </si>
  <si>
    <t>- Érdekeltségnövelő pályázat</t>
  </si>
  <si>
    <t>- NKA: Művészetek kisközösségének támogatása</t>
  </si>
  <si>
    <t>1.1.1.2.</t>
  </si>
  <si>
    <t>1.1.1.3.</t>
  </si>
  <si>
    <t>1.1.1.4.</t>
  </si>
  <si>
    <t>1.1.1.5.</t>
  </si>
  <si>
    <t>1.1.1.6.</t>
  </si>
  <si>
    <t>1.1.1.7.</t>
  </si>
  <si>
    <r>
      <t>Egyéb céltartalék (</t>
    </r>
    <r>
      <rPr>
        <sz val="11"/>
        <rFont val="Times New Roman CE"/>
        <family val="0"/>
      </rPr>
      <t xml:space="preserve"> </t>
    </r>
    <r>
      <rPr>
        <sz val="9"/>
        <rFont val="Times New Roman CE"/>
        <family val="0"/>
      </rPr>
      <t>Módszertani gyermekvéd. Feladat visszaut.</t>
    </r>
    <r>
      <rPr>
        <sz val="11"/>
        <rFont val="Times New Roman CE"/>
        <family val="1"/>
      </rPr>
      <t>)</t>
    </r>
  </si>
  <si>
    <t>2006. évi eredeti előirányzat</t>
  </si>
  <si>
    <t>1.3.2.</t>
  </si>
  <si>
    <r>
      <t xml:space="preserve">  </t>
    </r>
    <r>
      <rPr>
        <b/>
        <sz val="11"/>
        <rFont val="Times New Roman"/>
        <family val="1"/>
      </rPr>
      <t xml:space="preserve">-ebből: </t>
    </r>
  </si>
  <si>
    <t>1.3.3.</t>
  </si>
  <si>
    <t>JAM Ház pályázatai:</t>
  </si>
  <si>
    <t>Monor és térsége területfejlesztési Ök. Társ.</t>
  </si>
  <si>
    <t>PÉNZFORGALMI FELHALMOZÁSI KIADÁSOK</t>
  </si>
  <si>
    <t xml:space="preserve"> - NKA -Képzőműv. Koll.- Kiállító terem installációjánakfejlesztése</t>
  </si>
  <si>
    <t xml:space="preserve"> - NKA -Kisközösségek, csoportok működtetése</t>
  </si>
  <si>
    <t>1.3.3.4.</t>
  </si>
  <si>
    <t>1.3.3.5.</t>
  </si>
  <si>
    <t>1.3.3.6.</t>
  </si>
  <si>
    <t>1.3.3.7.</t>
  </si>
  <si>
    <t>1.3.3.8.</t>
  </si>
  <si>
    <t>1.3.3.9.</t>
  </si>
  <si>
    <t xml:space="preserve"> -NKA - Alkotótábor</t>
  </si>
  <si>
    <t xml:space="preserve"> - Pest Megye Önkormányzatának Okt-i, Ifjúsági és Sport Bizottsága - Alkotótábor</t>
  </si>
  <si>
    <t xml:space="preserve"> - Pest Megyei Gyermek és Ifjúsági Alapítvány - Alkotótábor</t>
  </si>
  <si>
    <t xml:space="preserve"> - GYSIM Mobilitas - Alkotótábor</t>
  </si>
  <si>
    <t>Rendkívüli gyermekvédelmi támogatás (tankönyv, tábor )</t>
  </si>
  <si>
    <t>Környezetvédelmi keret</t>
  </si>
  <si>
    <t>Társadalmi célú szervezetek támogatása</t>
  </si>
  <si>
    <t>1.10.4.</t>
  </si>
  <si>
    <t>1.10.5.</t>
  </si>
  <si>
    <t>Felhalmozási támogatás</t>
  </si>
  <si>
    <t>2.3.3.5.</t>
  </si>
  <si>
    <t>2.3.3.6.</t>
  </si>
  <si>
    <t>2.3.3.7.</t>
  </si>
  <si>
    <t>2.3.3.8.</t>
  </si>
  <si>
    <t>2.2.3.</t>
  </si>
  <si>
    <t>ó</t>
  </si>
  <si>
    <t>Rendezetlen ingatlanok kényszer kaszálása</t>
  </si>
  <si>
    <t>Vers és prózamondó verseny</t>
  </si>
  <si>
    <t>Lóti-Futi futóverseny</t>
  </si>
  <si>
    <t>Június 14. újratelepítési ünnep</t>
  </si>
  <si>
    <t>Augusztus 20.</t>
  </si>
  <si>
    <t>Október 06.</t>
  </si>
  <si>
    <t>Október 23.</t>
  </si>
  <si>
    <t>Városi rendezvények</t>
  </si>
  <si>
    <t>Jubileumi házassági évfordulók</t>
  </si>
  <si>
    <t>2007. évi tervezett előirányzat</t>
  </si>
  <si>
    <t xml:space="preserve"> - SZJA-ból visszahagyott 8%</t>
  </si>
  <si>
    <t>Mezőgazdasági céltartalék</t>
  </si>
  <si>
    <t>Intézményvilágítás korszerűsítési MFB hitel</t>
  </si>
  <si>
    <t>Szelektív hulladékgyűjtés fejlesztése</t>
  </si>
  <si>
    <t>Közbeszerzési eljárások lefolytatása ( eljárási díjak, dokumentációk, hirdetménydíjak)</t>
  </si>
  <si>
    <t>Parlagfű elleni védekezés</t>
  </si>
  <si>
    <t>Rendezetlen ingatlanok kényszerrendbetétele</t>
  </si>
  <si>
    <t>Környezetvédelemmel kapcsolatos pályázatok önrésze</t>
  </si>
  <si>
    <t>Intézményvilágítás korszerűsítési MFB hitel kamat</t>
  </si>
  <si>
    <t>Óvodák udvarán lévő játékok biztonságtechnikai javítása, cseréje</t>
  </si>
  <si>
    <t>Létszámfejlesztés 3 fő</t>
  </si>
  <si>
    <t>ebből: Magyar Kultúra Napja (255/2006. Ök. Hat)</t>
  </si>
  <si>
    <t>WTV Kép és Hangstúdíó</t>
  </si>
  <si>
    <t>2.1.1.1.</t>
  </si>
  <si>
    <t>Intézményi vagyonüzemeltetés  (751768)</t>
  </si>
  <si>
    <t>2.2.2.</t>
  </si>
  <si>
    <t>2.2.3.1.</t>
  </si>
  <si>
    <r>
      <t xml:space="preserve">Közterületen elhagyott hulladék begyűjtésére pályázathoz önrész biztosítása </t>
    </r>
    <r>
      <rPr>
        <i/>
        <sz val="8"/>
        <rFont val="Times New Roman"/>
        <family val="1"/>
      </rPr>
      <t>(10/2006. Ök. hat.)</t>
    </r>
  </si>
  <si>
    <t>1.3.1.2.</t>
  </si>
  <si>
    <t>1.1.3.1.</t>
  </si>
  <si>
    <t>1.1.3.2.</t>
  </si>
  <si>
    <t>Vecsés Város Önkormányzata 2010. évben 200.000.000 Ft MFB által refinanszírozott beruházási hitelt vett fel, melynek visszafizetési ütemezését a táblázat 4. sora tartalmazza.</t>
  </si>
  <si>
    <t>A Képviselő-testület 2008. évben a sportpálya és sportlétesítmények korszerűsítésére 100.000.000 Ft MFB által refinanszírozott hitelt vett fel, melynek visszafizetési ütemezését a táblázat 8. sora mutatja be.</t>
  </si>
  <si>
    <t>1.1.2.2.1</t>
  </si>
  <si>
    <t>1.1.2.2.2</t>
  </si>
  <si>
    <t>1.1.2.2.3</t>
  </si>
  <si>
    <t>1.1.2.2.4</t>
  </si>
  <si>
    <t>1.1.2.2.5</t>
  </si>
  <si>
    <t>1.1.3.1.1.1</t>
  </si>
  <si>
    <t>1.1.3.1.1.2</t>
  </si>
  <si>
    <t>1.1.2.1.1.3</t>
  </si>
  <si>
    <t>1.4.1.1.</t>
  </si>
  <si>
    <t>1.4.1.1.1</t>
  </si>
  <si>
    <t>1.4.1.1.2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</si>
  <si>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</si>
  <si>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</si>
  <si>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</si>
  <si>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</si>
  <si>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</si>
  <si>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</si>
  <si>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</si>
  <si>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</si>
  <si>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1.3.1.12</t>
  </si>
  <si>
    <t>1.3.1.13</t>
  </si>
  <si>
    <t>1.3.1.14</t>
  </si>
  <si>
    <t>1.3.1.15</t>
  </si>
  <si>
    <t>1.3.1.16</t>
  </si>
  <si>
    <t>1.3.1.17</t>
  </si>
  <si>
    <t>1.3.1.10.1</t>
  </si>
  <si>
    <t>1.3.1.10.2</t>
  </si>
  <si>
    <t>1.6.1.3.1</t>
  </si>
  <si>
    <t>1.6.1.8.1</t>
  </si>
  <si>
    <t>1.6.1.8.2</t>
  </si>
  <si>
    <t>1.6.2.7</t>
  </si>
  <si>
    <t>1.6.2.7.1</t>
  </si>
  <si>
    <t>2.1.1</t>
  </si>
  <si>
    <t>2.1.2</t>
  </si>
  <si>
    <t>2.1.3</t>
  </si>
  <si>
    <t>2.3.2</t>
  </si>
  <si>
    <t>2.3.3</t>
  </si>
  <si>
    <t>2.4.2</t>
  </si>
  <si>
    <t>2.4.3</t>
  </si>
  <si>
    <t>2.6.1</t>
  </si>
  <si>
    <t>2.7.1</t>
  </si>
  <si>
    <t>2.9</t>
  </si>
  <si>
    <t>2.9.1</t>
  </si>
  <si>
    <t>2.9.2</t>
  </si>
  <si>
    <t>2.9.3</t>
  </si>
  <si>
    <t>1.1</t>
  </si>
  <si>
    <t>1.2</t>
  </si>
  <si>
    <t>1.5</t>
  </si>
  <si>
    <t>1.6</t>
  </si>
  <si>
    <t>1.7</t>
  </si>
  <si>
    <t>1.8</t>
  </si>
  <si>
    <t>1.9</t>
  </si>
  <si>
    <t>1.10</t>
  </si>
  <si>
    <t>1.11</t>
  </si>
  <si>
    <t>1.12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</si>
  <si>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</si>
  <si>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</si>
  <si>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</si>
  <si>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</si>
  <si>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</si>
  <si>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</si>
  <si>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</si>
  <si>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</si>
  <si>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</si>
  <si>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1.13.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</si>
  <si>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</si>
  <si>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</si>
  <si>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</si>
  <si>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</si>
  <si>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</si>
  <si>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</si>
  <si>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</si>
  <si>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</si>
  <si>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</si>
  <si>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1.13.10</t>
  </si>
  <si>
    <t>1.13.11</t>
  </si>
  <si>
    <t>1.13.12</t>
  </si>
  <si>
    <t>1.13.13</t>
  </si>
  <si>
    <t>1.13.14</t>
  </si>
  <si>
    <t>1.13.15</t>
  </si>
  <si>
    <t>1.13.16</t>
  </si>
  <si>
    <t>1.13.17</t>
  </si>
  <si>
    <t>1.13.18</t>
  </si>
  <si>
    <t>1.13.19</t>
  </si>
  <si>
    <t>1.13.20</t>
  </si>
  <si>
    <t>1.13.21</t>
  </si>
  <si>
    <t>1.13.22</t>
  </si>
  <si>
    <t>1.13.23</t>
  </si>
  <si>
    <t>1.13.24</t>
  </si>
  <si>
    <t>1.13.25</t>
  </si>
  <si>
    <t>1.13.26</t>
  </si>
  <si>
    <t>1.13.27</t>
  </si>
  <si>
    <t>1.13.28</t>
  </si>
  <si>
    <t>1.13.29</t>
  </si>
  <si>
    <t>1.13.30</t>
  </si>
  <si>
    <t>1.13.31</t>
  </si>
  <si>
    <t>1.14</t>
  </si>
  <si>
    <t>1.15</t>
  </si>
  <si>
    <t>1.15.1</t>
  </si>
  <si>
    <t>1.15.2</t>
  </si>
  <si>
    <t>1.15.3</t>
  </si>
  <si>
    <t>1.15.4</t>
  </si>
  <si>
    <t>1.15.5</t>
  </si>
  <si>
    <t>1.15.6</t>
  </si>
  <si>
    <t>1.15.7</t>
  </si>
  <si>
    <t>1.15.8</t>
  </si>
  <si>
    <t>1.15.9</t>
  </si>
  <si>
    <t>1.15.10</t>
  </si>
  <si>
    <t>1.15.11</t>
  </si>
  <si>
    <t>1.15.12</t>
  </si>
  <si>
    <t>1.15.13</t>
  </si>
  <si>
    <t>1.15.14</t>
  </si>
  <si>
    <t>1.15.15</t>
  </si>
  <si>
    <t>1.15.16</t>
  </si>
  <si>
    <t>1.15.17</t>
  </si>
  <si>
    <t>1.15.18</t>
  </si>
  <si>
    <t>1.15.19</t>
  </si>
  <si>
    <t>1.15.20</t>
  </si>
  <si>
    <t>1.15.21</t>
  </si>
  <si>
    <t>1.15.22</t>
  </si>
  <si>
    <t>1.15.23</t>
  </si>
  <si>
    <t>1.15.24</t>
  </si>
  <si>
    <t>1.15.25</t>
  </si>
  <si>
    <t>1.15.26</t>
  </si>
  <si>
    <t>1.15.27</t>
  </si>
  <si>
    <t>1.15.28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</si>
  <si>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</si>
  <si>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</si>
  <si>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</si>
  <si>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</si>
  <si>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</si>
  <si>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</si>
  <si>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</si>
  <si>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</si>
  <si>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</si>
  <si>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</si>
  <si>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</si>
  <si>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</si>
  <si>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</si>
  <si>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</si>
  <si>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</si>
  <si>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</si>
  <si>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</si>
  <si>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</si>
  <si>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</si>
  <si>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</si>
  <si>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3.18</t>
  </si>
  <si>
    <t>3.19</t>
  </si>
  <si>
    <t>3.23</t>
  </si>
  <si>
    <t>3.14.1.8</t>
  </si>
  <si>
    <t>3.15.1</t>
  </si>
  <si>
    <t>3.15.2</t>
  </si>
  <si>
    <t>3.15.3</t>
  </si>
  <si>
    <t>3.15.4</t>
  </si>
  <si>
    <t>3.15.5</t>
  </si>
  <si>
    <t>3.15.6</t>
  </si>
  <si>
    <t>3.15.7</t>
  </si>
  <si>
    <t>3.15.8</t>
  </si>
  <si>
    <t>3.15.9</t>
  </si>
  <si>
    <t>3.15.10</t>
  </si>
  <si>
    <t>3.15.11</t>
  </si>
  <si>
    <t>3.15.12</t>
  </si>
  <si>
    <t>3.15.13</t>
  </si>
  <si>
    <t>3.15.14</t>
  </si>
  <si>
    <t>3.15.15</t>
  </si>
  <si>
    <t>3.15.16</t>
  </si>
  <si>
    <t>3.15.17</t>
  </si>
  <si>
    <t>3.15.18</t>
  </si>
  <si>
    <t>3.15.19</t>
  </si>
  <si>
    <t>3.20.</t>
  </si>
  <si>
    <t>3.28</t>
  </si>
  <si>
    <t>3.29</t>
  </si>
  <si>
    <t>1.1.1.1</t>
  </si>
  <si>
    <t>1.1.1.2</t>
  </si>
  <si>
    <t>1.1.1.3</t>
  </si>
  <si>
    <t>1.1.4.1</t>
  </si>
  <si>
    <t>1.1.4.2</t>
  </si>
  <si>
    <t>1.1.4.3</t>
  </si>
  <si>
    <t>1.1.4.4</t>
  </si>
  <si>
    <t>2.10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</si>
</sst>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\ ###\ ###"/>
    <numFmt numFmtId="166" formatCode="#\ ###.00"/>
    <numFmt numFmtId="167" formatCode="#\ ###"/>
    <numFmt numFmtId="168" formatCode="#.0\ ###"/>
    <numFmt numFmtId="169" formatCode="#.00\ ###"/>
    <numFmt numFmtId="170" formatCode="#.000\ ###"/>
    <numFmt numFmtId="171" formatCode="#.0000\ ###"/>
    <numFmt numFmtId="172" formatCode="#.00000\ ###"/>
    <numFmt numFmtId="173" formatCode="#.0\ ###\ ###"/>
    <numFmt numFmtId="174" formatCode="#.\ ###\ ###"/>
    <numFmt numFmtId="175" formatCode="#.###\ ###"/>
    <numFmt numFmtId="176" formatCode="#.\ ###"/>
    <numFmt numFmtId="177" formatCode="#.###"/>
    <numFmt numFmtId="178" formatCode="#.##"/>
    <numFmt numFmtId="179" formatCode="#.#"/>
    <numFmt numFmtId="180" formatCode="#"/>
    <numFmt numFmtId="181" formatCode="#,##0\ _F_t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#,##0.0000"/>
    <numFmt numFmtId="186" formatCode="#,##0.00000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[$-40E]yyyy\.\ mmmm\ d\."/>
    <numFmt numFmtId="191" formatCode="#,##0\ &quot;Ft&quot;"/>
    <numFmt numFmtId="192" formatCode="&quot;H-&quot;0000"/>
    <numFmt numFmtId="193" formatCode="0.00000"/>
    <numFmt numFmtId="194" formatCode="0.000000"/>
    <numFmt numFmtId="195" formatCode="0.0000"/>
    <numFmt numFmtId="196" formatCode="0.000"/>
    <numFmt numFmtId="197" formatCode="0.0"/>
    <numFmt numFmtId="198" formatCode="\ \-"/>
    <numFmt numFmtId="199" formatCode="#,###"/>
    <numFmt numFmtId="200" formatCode="#,###__;\-\ #,###__"/>
    <numFmt numFmtId="201" formatCode="00"/>
    <numFmt numFmtId="202" formatCode="#,###\ _F_t;\-#,###\ _F_t"/>
    <numFmt numFmtId="203" formatCode="#,##0.00\ _F_t;\-\ #,##0.00\ _F_t"/>
    <numFmt numFmtId="204" formatCode="#,##0.00_ ;\-#,##0.00\ "/>
    <numFmt numFmtId="205" formatCode="#,##0.00\ _F_t"/>
    <numFmt numFmtId="206" formatCode="#&quot; &quot;???/???"/>
    <numFmt numFmtId="207" formatCode="_-* #,##0.000\ _F_t_-;\-* #,##0.000\ _F_t_-;_-* &quot;-&quot;??\ _F_t_-;_-@_-"/>
    <numFmt numFmtId="208" formatCode="_-* #,##0.0000\ _F_t_-;\-* #,##0.0000\ _F_t_-;_-* &quot;-&quot;??\ _F_t_-;_-@_-"/>
    <numFmt numFmtId="209" formatCode="0.000000000"/>
    <numFmt numFmtId="210" formatCode="0.00000000"/>
    <numFmt numFmtId="211" formatCode="0.0000000"/>
    <numFmt numFmtId="212" formatCode="[$€-2]\ #\ ##,000_);[Red]\([$€-2]\ #\ ##,000\)"/>
  </numFmts>
  <fonts count="11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Times"/>
      <family val="1"/>
    </font>
    <font>
      <b/>
      <sz val="11"/>
      <name val="Times"/>
      <family val="1"/>
    </font>
    <font>
      <i/>
      <sz val="13"/>
      <name val="Times New Roman"/>
      <family val="1"/>
    </font>
    <font>
      <sz val="11"/>
      <name val="Arial"/>
      <family val="2"/>
    </font>
    <font>
      <sz val="10"/>
      <name val="Times New Roman CE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sz val="9"/>
      <name val="Times New Roman CE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name val="Times"/>
      <family val="1"/>
    </font>
    <font>
      <sz val="12"/>
      <name val="Times New Roman"/>
      <family val="1"/>
    </font>
    <font>
      <sz val="13"/>
      <name val="Arial"/>
      <family val="2"/>
    </font>
    <font>
      <b/>
      <i/>
      <sz val="13"/>
      <name val="Arial"/>
      <family val="2"/>
    </font>
    <font>
      <sz val="12"/>
      <name val="Arial"/>
      <family val="2"/>
    </font>
    <font>
      <b/>
      <i/>
      <sz val="1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Times New Roman CE"/>
      <family val="0"/>
    </font>
    <font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8"/>
      <name val="Calibri"/>
      <family val="2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3"/>
      <name val="Times New Roman CE"/>
      <family val="0"/>
    </font>
    <font>
      <i/>
      <sz val="12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i/>
      <sz val="9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i/>
      <sz val="9"/>
      <name val="Times New Roman CE"/>
      <family val="1"/>
    </font>
    <font>
      <sz val="12"/>
      <name val="MS Sans Serif"/>
      <family val="2"/>
    </font>
    <font>
      <b/>
      <i/>
      <sz val="10"/>
      <name val="MS Sans Serif"/>
      <family val="2"/>
    </font>
    <font>
      <i/>
      <sz val="10"/>
      <name val="MS Sans Serif"/>
      <family val="2"/>
    </font>
    <font>
      <b/>
      <i/>
      <sz val="11"/>
      <name val="Times New Roman CE"/>
      <family val="1"/>
    </font>
    <font>
      <sz val="12"/>
      <color indexed="8"/>
      <name val="Calibri"/>
      <family val="2"/>
    </font>
    <font>
      <b/>
      <sz val="13"/>
      <name val="MS Sans Serif"/>
      <family val="2"/>
    </font>
    <font>
      <b/>
      <sz val="11"/>
      <name val="MS Sans Serif"/>
      <family val="2"/>
    </font>
    <font>
      <sz val="8"/>
      <name val="Calibri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gray0625">
        <fgColor indexed="8"/>
      </patternFill>
    </fill>
    <fill>
      <patternFill patternType="solid">
        <fgColor indexed="22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/>
      <top style="thin"/>
      <bottom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/>
      <top>
        <color indexed="63"/>
      </top>
      <bottom/>
    </border>
    <border diagonalUp="1">
      <left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/>
      <right style="thin"/>
      <top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/>
      <right style="thin"/>
      <top style="thin"/>
      <bottom/>
      <diagonal style="thin"/>
    </border>
    <border diagonalUp="1">
      <left style="thin"/>
      <right style="thin"/>
      <top style="thin"/>
      <bottom/>
      <diagonal style="thin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ck"/>
      <right style="thin"/>
      <top style="thick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/>
      <top style="thin"/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2" applyNumberFormat="0" applyFill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10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0" fillId="22" borderId="7" applyNumberFormat="0" applyFont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6" fillId="29" borderId="0" applyNumberFormat="0" applyBorder="0" applyAlignment="0" applyProtection="0"/>
    <xf numFmtId="0" fontId="107" fillId="30" borderId="8" applyNumberFormat="0" applyAlignment="0" applyProtection="0"/>
    <xf numFmtId="0" fontId="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67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10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1" borderId="0" applyNumberFormat="0" applyBorder="0" applyAlignment="0" applyProtection="0"/>
    <xf numFmtId="0" fontId="111" fillId="32" borderId="0" applyNumberFormat="0" applyBorder="0" applyAlignment="0" applyProtection="0"/>
    <xf numFmtId="0" fontId="112" fillId="30" borderId="1" applyNumberFormat="0" applyAlignment="0" applyProtection="0"/>
    <xf numFmtId="9" fontId="0" fillId="0" borderId="0" applyFont="0" applyFill="0" applyBorder="0" applyAlignment="0" applyProtection="0"/>
  </cellStyleXfs>
  <cellXfs count="12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20" xfId="0" applyFont="1" applyBorder="1" applyAlignment="1">
      <alignment horizontal="center"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17" xfId="0" applyFont="1" applyBorder="1" applyAlignment="1">
      <alignment/>
    </xf>
    <xf numFmtId="49" fontId="8" fillId="0" borderId="18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5" fillId="33" borderId="17" xfId="0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49" fontId="5" fillId="33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49" fontId="9" fillId="0" borderId="19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0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11" fillId="0" borderId="17" xfId="0" applyFont="1" applyBorder="1" applyAlignment="1">
      <alignment/>
    </xf>
    <xf numFmtId="49" fontId="11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12" fillId="0" borderId="20" xfId="0" applyNumberFormat="1" applyFont="1" applyBorder="1" applyAlignment="1">
      <alignment/>
    </xf>
    <xf numFmtId="0" fontId="7" fillId="0" borderId="22" xfId="0" applyFont="1" applyBorder="1" applyAlignment="1">
      <alignment/>
    </xf>
    <xf numFmtId="49" fontId="7" fillId="0" borderId="23" xfId="0" applyNumberFormat="1" applyFont="1" applyBorder="1" applyAlignment="1">
      <alignment/>
    </xf>
    <xf numFmtId="0" fontId="4" fillId="33" borderId="24" xfId="0" applyFont="1" applyFill="1" applyBorder="1" applyAlignment="1">
      <alignment/>
    </xf>
    <xf numFmtId="3" fontId="11" fillId="0" borderId="2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6" fillId="33" borderId="20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3" fontId="10" fillId="33" borderId="20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49" fontId="8" fillId="0" borderId="19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49" fontId="15" fillId="0" borderId="19" xfId="0" applyNumberFormat="1" applyFont="1" applyBorder="1" applyAlignment="1">
      <alignment/>
    </xf>
    <xf numFmtId="0" fontId="8" fillId="33" borderId="17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16" fillId="33" borderId="19" xfId="0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34" borderId="20" xfId="0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9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6" fillId="33" borderId="20" xfId="0" applyFont="1" applyFill="1" applyBorder="1" applyAlignment="1">
      <alignment horizontal="center" wrapText="1"/>
    </xf>
    <xf numFmtId="3" fontId="6" fillId="33" borderId="2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wrapText="1"/>
    </xf>
    <xf numFmtId="0" fontId="9" fillId="0" borderId="22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8" fillId="33" borderId="2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18" fillId="33" borderId="20" xfId="0" applyNumberFormat="1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0" fillId="0" borderId="0" xfId="0" applyFont="1" applyAlignment="1">
      <alignment/>
    </xf>
    <xf numFmtId="3" fontId="18" fillId="0" borderId="0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1" fillId="0" borderId="16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justify" vertical="center" wrapText="1"/>
    </xf>
    <xf numFmtId="0" fontId="24" fillId="0" borderId="2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22" xfId="0" applyFont="1" applyBorder="1" applyAlignment="1">
      <alignment/>
    </xf>
    <xf numFmtId="49" fontId="6" fillId="0" borderId="25" xfId="0" applyNumberFormat="1" applyFont="1" applyBorder="1" applyAlignment="1">
      <alignment/>
    </xf>
    <xf numFmtId="0" fontId="24" fillId="0" borderId="20" xfId="0" applyFont="1" applyFill="1" applyBorder="1" applyAlignment="1">
      <alignment vertical="center" wrapText="1"/>
    </xf>
    <xf numFmtId="49" fontId="6" fillId="0" borderId="23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20" xfId="0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49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3" fontId="7" fillId="34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right" vertical="center" wrapText="1"/>
    </xf>
    <xf numFmtId="0" fontId="25" fillId="0" borderId="20" xfId="0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0" fontId="11" fillId="0" borderId="20" xfId="0" applyFont="1" applyBorder="1" applyAlignment="1">
      <alignment horizontal="left" vertical="justify" wrapText="1" indent="5"/>
    </xf>
    <xf numFmtId="49" fontId="10" fillId="0" borderId="18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7" fillId="0" borderId="2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justify" wrapText="1" indent="5"/>
    </xf>
    <xf numFmtId="49" fontId="22" fillId="0" borderId="19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4" fontId="6" fillId="0" borderId="2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22" fillId="0" borderId="21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3" fontId="6" fillId="33" borderId="20" xfId="0" applyNumberFormat="1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1" fillId="0" borderId="20" xfId="0" applyFont="1" applyBorder="1" applyAlignment="1">
      <alignment/>
    </xf>
    <xf numFmtId="49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/>
    </xf>
    <xf numFmtId="0" fontId="11" fillId="0" borderId="20" xfId="0" applyFont="1" applyBorder="1" applyAlignment="1">
      <alignment horizontal="left" vertical="center" wrapText="1" indent="4"/>
    </xf>
    <xf numFmtId="16" fontId="11" fillId="0" borderId="20" xfId="0" applyNumberFormat="1" applyFont="1" applyBorder="1" applyAlignment="1">
      <alignment horizontal="left" vertical="center" wrapText="1" indent="4"/>
    </xf>
    <xf numFmtId="49" fontId="11" fillId="0" borderId="20" xfId="0" applyNumberFormat="1" applyFont="1" applyBorder="1" applyAlignment="1">
      <alignment horizontal="left" vertical="center" wrapText="1" indent="4"/>
    </xf>
    <xf numFmtId="3" fontId="7" fillId="0" borderId="21" xfId="0" applyNumberFormat="1" applyFont="1" applyBorder="1" applyAlignment="1">
      <alignment horizontal="right" vertical="center"/>
    </xf>
    <xf numFmtId="49" fontId="6" fillId="33" borderId="18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9" fontId="3" fillId="0" borderId="10" xfId="0" applyNumberFormat="1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left" vertical="center" wrapText="1" indent="2"/>
    </xf>
    <xf numFmtId="0" fontId="7" fillId="0" borderId="20" xfId="0" applyFont="1" applyBorder="1" applyAlignment="1">
      <alignment horizontal="left" indent="2"/>
    </xf>
    <xf numFmtId="0" fontId="11" fillId="0" borderId="20" xfId="0" applyFont="1" applyBorder="1" applyAlignment="1">
      <alignment horizontal="left" indent="3"/>
    </xf>
    <xf numFmtId="49" fontId="22" fillId="0" borderId="20" xfId="0" applyNumberFormat="1" applyFont="1" applyBorder="1" applyAlignment="1">
      <alignment horizontal="left" vertical="justify" wrapText="1" indent="5"/>
    </xf>
    <xf numFmtId="3" fontId="30" fillId="0" borderId="20" xfId="0" applyNumberFormat="1" applyFont="1" applyBorder="1" applyAlignment="1">
      <alignment/>
    </xf>
    <xf numFmtId="0" fontId="7" fillId="0" borderId="20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/>
    </xf>
    <xf numFmtId="0" fontId="6" fillId="0" borderId="26" xfId="0" applyFont="1" applyFill="1" applyBorder="1" applyAlignment="1">
      <alignment/>
    </xf>
    <xf numFmtId="164" fontId="0" fillId="0" borderId="0" xfId="0" applyNumberFormat="1" applyAlignment="1">
      <alignment/>
    </xf>
    <xf numFmtId="49" fontId="6" fillId="0" borderId="11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0" fontId="20" fillId="33" borderId="11" xfId="0" applyFont="1" applyFill="1" applyBorder="1" applyAlignment="1">
      <alignment/>
    </xf>
    <xf numFmtId="3" fontId="6" fillId="0" borderId="2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6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0" fontId="32" fillId="0" borderId="0" xfId="0" applyFont="1" applyAlignment="1">
      <alignment/>
    </xf>
    <xf numFmtId="16" fontId="11" fillId="0" borderId="17" xfId="0" applyNumberFormat="1" applyFont="1" applyBorder="1" applyAlignment="1">
      <alignment/>
    </xf>
    <xf numFmtId="3" fontId="8" fillId="1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" fontId="9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8" fillId="33" borderId="17" xfId="0" applyFont="1" applyFill="1" applyBorder="1" applyAlignment="1">
      <alignment/>
    </xf>
    <xf numFmtId="49" fontId="8" fillId="33" borderId="18" xfId="0" applyNumberFormat="1" applyFont="1" applyFill="1" applyBorder="1" applyAlignment="1">
      <alignment/>
    </xf>
    <xf numFmtId="49" fontId="8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1" borderId="2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49" fontId="14" fillId="0" borderId="18" xfId="0" applyNumberFormat="1" applyFont="1" applyBorder="1" applyAlignment="1">
      <alignment/>
    </xf>
    <xf numFmtId="49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33" fillId="0" borderId="0" xfId="0" applyFont="1" applyAlignment="1">
      <alignment/>
    </xf>
    <xf numFmtId="16" fontId="31" fillId="0" borderId="17" xfId="0" applyNumberFormat="1" applyFont="1" applyBorder="1" applyAlignment="1">
      <alignment/>
    </xf>
    <xf numFmtId="49" fontId="31" fillId="0" borderId="18" xfId="0" applyNumberFormat="1" applyFont="1" applyBorder="1" applyAlignment="1">
      <alignment/>
    </xf>
    <xf numFmtId="49" fontId="31" fillId="0" borderId="19" xfId="0" applyNumberFormat="1" applyFont="1" applyBorder="1" applyAlignment="1">
      <alignment/>
    </xf>
    <xf numFmtId="0" fontId="31" fillId="0" borderId="20" xfId="0" applyFont="1" applyBorder="1" applyAlignment="1">
      <alignment/>
    </xf>
    <xf numFmtId="3" fontId="31" fillId="0" borderId="20" xfId="0" applyNumberFormat="1" applyFont="1" applyBorder="1" applyAlignment="1">
      <alignment/>
    </xf>
    <xf numFmtId="3" fontId="31" fillId="0" borderId="16" xfId="0" applyNumberFormat="1" applyFont="1" applyBorder="1" applyAlignment="1">
      <alignment/>
    </xf>
    <xf numFmtId="0" fontId="34" fillId="0" borderId="0" xfId="0" applyFont="1" applyAlignment="1">
      <alignment/>
    </xf>
    <xf numFmtId="0" fontId="7" fillId="0" borderId="20" xfId="0" applyFont="1" applyBorder="1" applyAlignment="1">
      <alignment horizontal="left" indent="4"/>
    </xf>
    <xf numFmtId="0" fontId="7" fillId="0" borderId="20" xfId="0" applyFont="1" applyBorder="1" applyAlignment="1">
      <alignment horizontal="left" indent="6"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center" wrapText="1"/>
    </xf>
    <xf numFmtId="0" fontId="6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left" vertical="center" wrapText="1" indent="4"/>
    </xf>
    <xf numFmtId="3" fontId="6" fillId="0" borderId="21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3" fontId="6" fillId="33" borderId="21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2" fontId="0" fillId="0" borderId="0" xfId="0" applyNumberFormat="1" applyAlignment="1">
      <alignment/>
    </xf>
    <xf numFmtId="2" fontId="2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7" fillId="0" borderId="0" xfId="0" applyNumberFormat="1" applyFont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49" fontId="6" fillId="0" borderId="28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7" fillId="0" borderId="19" xfId="0" applyNumberFormat="1" applyFont="1" applyBorder="1" applyAlignment="1">
      <alignment horizontal="right" vertical="center" wrapText="1"/>
    </xf>
    <xf numFmtId="3" fontId="22" fillId="0" borderId="19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 indent="2"/>
    </xf>
    <xf numFmtId="49" fontId="7" fillId="0" borderId="18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12" fillId="0" borderId="21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 vertical="center"/>
    </xf>
    <xf numFmtId="0" fontId="0" fillId="0" borderId="0" xfId="62">
      <alignment/>
      <protection/>
    </xf>
    <xf numFmtId="3" fontId="7" fillId="0" borderId="20" xfId="62" applyNumberFormat="1" applyFont="1" applyBorder="1" applyAlignment="1">
      <alignment horizontal="right" vertical="center" wrapText="1"/>
      <protection/>
    </xf>
    <xf numFmtId="3" fontId="11" fillId="0" borderId="20" xfId="62" applyNumberFormat="1" applyFont="1" applyBorder="1" applyAlignment="1">
      <alignment horizontal="right" vertical="center" wrapText="1"/>
      <protection/>
    </xf>
    <xf numFmtId="0" fontId="11" fillId="0" borderId="20" xfId="62" applyFont="1" applyBorder="1">
      <alignment/>
      <protection/>
    </xf>
    <xf numFmtId="0" fontId="7" fillId="0" borderId="20" xfId="62" applyFont="1" applyBorder="1" applyAlignment="1">
      <alignment horizontal="left" vertical="center" wrapText="1"/>
      <protection/>
    </xf>
    <xf numFmtId="3" fontId="0" fillId="0" borderId="0" xfId="62" applyNumberFormat="1">
      <alignment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left" vertical="center" wrapText="1"/>
      <protection/>
    </xf>
    <xf numFmtId="3" fontId="6" fillId="0" borderId="20" xfId="62" applyNumberFormat="1" applyFont="1" applyBorder="1" applyAlignment="1">
      <alignment horizontal="right" vertical="center" wrapText="1"/>
      <protection/>
    </xf>
    <xf numFmtId="49" fontId="7" fillId="0" borderId="18" xfId="62" applyNumberFormat="1" applyFont="1" applyBorder="1" applyAlignment="1">
      <alignment horizontal="center" vertical="center"/>
      <protection/>
    </xf>
    <xf numFmtId="49" fontId="6" fillId="0" borderId="19" xfId="62" applyNumberFormat="1" applyFont="1" applyBorder="1" applyAlignment="1">
      <alignment horizontal="center" vertical="center"/>
      <protection/>
    </xf>
    <xf numFmtId="49" fontId="11" fillId="0" borderId="19" xfId="62" applyNumberFormat="1" applyFont="1" applyBorder="1" applyAlignment="1">
      <alignment horizontal="center" vertical="center"/>
      <protection/>
    </xf>
    <xf numFmtId="3" fontId="22" fillId="0" borderId="20" xfId="62" applyNumberFormat="1" applyFont="1" applyBorder="1" applyAlignment="1">
      <alignment horizontal="right" vertical="center" wrapText="1"/>
      <protection/>
    </xf>
    <xf numFmtId="49" fontId="6" fillId="0" borderId="18" xfId="62" applyNumberFormat="1" applyFont="1" applyBorder="1" applyAlignment="1">
      <alignment horizontal="center" vertical="center"/>
      <protection/>
    </xf>
    <xf numFmtId="49" fontId="7" fillId="0" borderId="19" xfId="62" applyNumberFormat="1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11" fillId="0" borderId="20" xfId="62" applyFont="1" applyBorder="1" applyAlignment="1">
      <alignment horizontal="left" vertical="center" wrapText="1" indent="4"/>
      <protection/>
    </xf>
    <xf numFmtId="49" fontId="11" fillId="0" borderId="20" xfId="62" applyNumberFormat="1" applyFont="1" applyBorder="1" applyAlignment="1">
      <alignment horizontal="left" vertical="center" wrapText="1" indent="4"/>
      <protection/>
    </xf>
    <xf numFmtId="0" fontId="20" fillId="0" borderId="0" xfId="62" applyFont="1">
      <alignment/>
      <protection/>
    </xf>
    <xf numFmtId="49" fontId="20" fillId="0" borderId="0" xfId="62" applyNumberFormat="1" applyFont="1">
      <alignment/>
      <protection/>
    </xf>
    <xf numFmtId="0" fontId="7" fillId="0" borderId="20" xfId="0" applyFont="1" applyBorder="1" applyAlignment="1">
      <alignment horizontal="left" indent="3"/>
    </xf>
    <xf numFmtId="0" fontId="6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21" fillId="0" borderId="20" xfId="0" applyFont="1" applyFill="1" applyBorder="1" applyAlignment="1">
      <alignment horizontal="left" vertical="center" wrapText="1" indent="2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0" fontId="34" fillId="33" borderId="24" xfId="0" applyFont="1" applyFill="1" applyBorder="1" applyAlignment="1">
      <alignment/>
    </xf>
    <xf numFmtId="3" fontId="34" fillId="33" borderId="29" xfId="0" applyNumberFormat="1" applyFont="1" applyFill="1" applyBorder="1" applyAlignment="1">
      <alignment/>
    </xf>
    <xf numFmtId="0" fontId="37" fillId="33" borderId="24" xfId="0" applyFont="1" applyFill="1" applyBorder="1" applyAlignment="1">
      <alignment/>
    </xf>
    <xf numFmtId="3" fontId="37" fillId="33" borderId="29" xfId="0" applyNumberFormat="1" applyFont="1" applyFill="1" applyBorder="1" applyAlignment="1">
      <alignment/>
    </xf>
    <xf numFmtId="0" fontId="8" fillId="0" borderId="20" xfId="65" applyFont="1" applyBorder="1" applyAlignment="1">
      <alignment horizontal="center" vertical="center"/>
      <protection/>
    </xf>
    <xf numFmtId="0" fontId="38" fillId="0" borderId="20" xfId="65" applyFont="1" applyBorder="1" applyAlignment="1">
      <alignment horizontal="center" vertical="center"/>
      <protection/>
    </xf>
    <xf numFmtId="0" fontId="0" fillId="0" borderId="0" xfId="65">
      <alignment/>
      <protection/>
    </xf>
    <xf numFmtId="0" fontId="6" fillId="33" borderId="17" xfId="65" applyFont="1" applyFill="1" applyBorder="1" applyAlignment="1">
      <alignment horizontal="center" vertical="center"/>
      <protection/>
    </xf>
    <xf numFmtId="49" fontId="6" fillId="33" borderId="18" xfId="65" applyNumberFormat="1" applyFont="1" applyFill="1" applyBorder="1" applyAlignment="1">
      <alignment horizontal="center" vertical="center"/>
      <protection/>
    </xf>
    <xf numFmtId="49" fontId="6" fillId="33" borderId="19" xfId="65" applyNumberFormat="1" applyFont="1" applyFill="1" applyBorder="1" applyAlignment="1">
      <alignment horizontal="center" vertical="center"/>
      <protection/>
    </xf>
    <xf numFmtId="3" fontId="8" fillId="33" borderId="20" xfId="65" applyNumberFormat="1" applyFont="1" applyFill="1" applyBorder="1" applyAlignment="1">
      <alignment horizontal="right" vertical="center" wrapText="1"/>
      <protection/>
    </xf>
    <xf numFmtId="0" fontId="6" fillId="34" borderId="17" xfId="65" applyFont="1" applyFill="1" applyBorder="1" applyAlignment="1">
      <alignment horizontal="center" vertical="center"/>
      <protection/>
    </xf>
    <xf numFmtId="49" fontId="7" fillId="34" borderId="18" xfId="65" applyNumberFormat="1" applyFont="1" applyFill="1" applyBorder="1" applyAlignment="1">
      <alignment horizontal="center" vertical="center"/>
      <protection/>
    </xf>
    <xf numFmtId="49" fontId="6" fillId="34" borderId="19" xfId="65" applyNumberFormat="1" applyFont="1" applyFill="1" applyBorder="1" applyAlignment="1">
      <alignment horizontal="center" vertical="center"/>
      <protection/>
    </xf>
    <xf numFmtId="0" fontId="9" fillId="0" borderId="20" xfId="65" applyFont="1" applyBorder="1">
      <alignment/>
      <protection/>
    </xf>
    <xf numFmtId="3" fontId="8" fillId="34" borderId="20" xfId="65" applyNumberFormat="1" applyFont="1" applyFill="1" applyBorder="1" applyAlignment="1">
      <alignment horizontal="right" vertical="center" wrapText="1"/>
      <protection/>
    </xf>
    <xf numFmtId="3" fontId="9" fillId="0" borderId="20" xfId="65" applyNumberFormat="1" applyFont="1" applyBorder="1">
      <alignment/>
      <protection/>
    </xf>
    <xf numFmtId="0" fontId="6" fillId="0" borderId="17" xfId="65" applyFont="1" applyBorder="1" applyAlignment="1">
      <alignment horizontal="center" vertical="center"/>
      <protection/>
    </xf>
    <xf numFmtId="49" fontId="7" fillId="0" borderId="18" xfId="65" applyNumberFormat="1" applyFont="1" applyBorder="1" applyAlignment="1">
      <alignment horizontal="center" vertical="center"/>
      <protection/>
    </xf>
    <xf numFmtId="49" fontId="7" fillId="0" borderId="19" xfId="65" applyNumberFormat="1" applyFont="1" applyBorder="1" applyAlignment="1">
      <alignment horizontal="center" vertical="center"/>
      <protection/>
    </xf>
    <xf numFmtId="3" fontId="9" fillId="0" borderId="20" xfId="65" applyNumberFormat="1" applyFont="1" applyBorder="1" applyAlignment="1">
      <alignment vertical="center"/>
      <protection/>
    </xf>
    <xf numFmtId="3" fontId="9" fillId="0" borderId="20" xfId="65" applyNumberFormat="1" applyFont="1" applyBorder="1" applyAlignment="1">
      <alignment/>
      <protection/>
    </xf>
    <xf numFmtId="0" fontId="8" fillId="33" borderId="20" xfId="65" applyFont="1" applyFill="1" applyBorder="1">
      <alignment/>
      <protection/>
    </xf>
    <xf numFmtId="3" fontId="8" fillId="33" borderId="20" xfId="65" applyNumberFormat="1" applyFont="1" applyFill="1" applyBorder="1">
      <alignment/>
      <protection/>
    </xf>
    <xf numFmtId="0" fontId="6" fillId="34" borderId="17" xfId="65" applyFont="1" applyFill="1" applyBorder="1">
      <alignment/>
      <protection/>
    </xf>
    <xf numFmtId="49" fontId="7" fillId="34" borderId="18" xfId="65" applyNumberFormat="1" applyFont="1" applyFill="1" applyBorder="1">
      <alignment/>
      <protection/>
    </xf>
    <xf numFmtId="49" fontId="7" fillId="34" borderId="19" xfId="65" applyNumberFormat="1" applyFont="1" applyFill="1" applyBorder="1">
      <alignment/>
      <protection/>
    </xf>
    <xf numFmtId="0" fontId="8" fillId="34" borderId="20" xfId="65" applyFont="1" applyFill="1" applyBorder="1">
      <alignment/>
      <protection/>
    </xf>
    <xf numFmtId="3" fontId="8" fillId="34" borderId="20" xfId="65" applyNumberFormat="1" applyFont="1" applyFill="1" applyBorder="1">
      <alignment/>
      <protection/>
    </xf>
    <xf numFmtId="0" fontId="7" fillId="33" borderId="17" xfId="65" applyFont="1" applyFill="1" applyBorder="1">
      <alignment/>
      <protection/>
    </xf>
    <xf numFmtId="49" fontId="7" fillId="33" borderId="18" xfId="65" applyNumberFormat="1" applyFont="1" applyFill="1" applyBorder="1">
      <alignment/>
      <protection/>
    </xf>
    <xf numFmtId="49" fontId="7" fillId="33" borderId="19" xfId="65" applyNumberFormat="1" applyFont="1" applyFill="1" applyBorder="1">
      <alignment/>
      <protection/>
    </xf>
    <xf numFmtId="0" fontId="8" fillId="33" borderId="20" xfId="65" applyFont="1" applyFill="1" applyBorder="1" applyAlignment="1">
      <alignment horizontal="center"/>
      <protection/>
    </xf>
    <xf numFmtId="3" fontId="0" fillId="0" borderId="0" xfId="65" applyNumberFormat="1">
      <alignment/>
      <protection/>
    </xf>
    <xf numFmtId="49" fontId="0" fillId="0" borderId="0" xfId="65" applyNumberFormat="1">
      <alignment/>
      <protection/>
    </xf>
    <xf numFmtId="0" fontId="0" fillId="0" borderId="0" xfId="63">
      <alignment/>
      <protection/>
    </xf>
    <xf numFmtId="0" fontId="6" fillId="0" borderId="20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6" fillId="33" borderId="17" xfId="63" applyFont="1" applyFill="1" applyBorder="1">
      <alignment/>
      <protection/>
    </xf>
    <xf numFmtId="49" fontId="7" fillId="33" borderId="18" xfId="63" applyNumberFormat="1" applyFont="1" applyFill="1" applyBorder="1">
      <alignment/>
      <protection/>
    </xf>
    <xf numFmtId="49" fontId="7" fillId="33" borderId="19" xfId="63" applyNumberFormat="1" applyFont="1" applyFill="1" applyBorder="1">
      <alignment/>
      <protection/>
    </xf>
    <xf numFmtId="0" fontId="6" fillId="33" borderId="20" xfId="63" applyFont="1" applyFill="1" applyBorder="1">
      <alignment/>
      <protection/>
    </xf>
    <xf numFmtId="3" fontId="6" fillId="33" borderId="20" xfId="63" applyNumberFormat="1" applyFont="1" applyFill="1" applyBorder="1">
      <alignment/>
      <protection/>
    </xf>
    <xf numFmtId="0" fontId="7" fillId="0" borderId="17" xfId="63" applyFont="1" applyBorder="1">
      <alignment/>
      <protection/>
    </xf>
    <xf numFmtId="49" fontId="7" fillId="0" borderId="18" xfId="63" applyNumberFormat="1" applyFont="1" applyBorder="1">
      <alignment/>
      <protection/>
    </xf>
    <xf numFmtId="49" fontId="7" fillId="0" borderId="19" xfId="63" applyNumberFormat="1" applyFont="1" applyBorder="1">
      <alignment/>
      <protection/>
    </xf>
    <xf numFmtId="0" fontId="31" fillId="0" borderId="20" xfId="63" applyFont="1" applyBorder="1" applyAlignment="1">
      <alignment wrapText="1"/>
      <protection/>
    </xf>
    <xf numFmtId="3" fontId="7" fillId="0" borderId="20" xfId="63" applyNumberFormat="1" applyFont="1" applyBorder="1">
      <alignment/>
      <protection/>
    </xf>
    <xf numFmtId="3" fontId="31" fillId="0" borderId="20" xfId="63" applyNumberFormat="1" applyFont="1" applyBorder="1">
      <alignment/>
      <protection/>
    </xf>
    <xf numFmtId="0" fontId="31" fillId="0" borderId="20" xfId="63" applyFont="1" applyBorder="1">
      <alignment/>
      <protection/>
    </xf>
    <xf numFmtId="49" fontId="10" fillId="0" borderId="18" xfId="63" applyNumberFormat="1" applyFont="1" applyBorder="1">
      <alignment/>
      <protection/>
    </xf>
    <xf numFmtId="49" fontId="10" fillId="0" borderId="19" xfId="63" applyNumberFormat="1" applyFont="1" applyBorder="1">
      <alignment/>
      <protection/>
    </xf>
    <xf numFmtId="0" fontId="10" fillId="0" borderId="20" xfId="63" applyFont="1" applyBorder="1">
      <alignment/>
      <protection/>
    </xf>
    <xf numFmtId="3" fontId="11" fillId="0" borderId="20" xfId="63" applyNumberFormat="1" applyFont="1" applyBorder="1">
      <alignment/>
      <protection/>
    </xf>
    <xf numFmtId="3" fontId="10" fillId="0" borderId="20" xfId="63" applyNumberFormat="1" applyFont="1" applyBorder="1">
      <alignment/>
      <protection/>
    </xf>
    <xf numFmtId="3" fontId="22" fillId="0" borderId="20" xfId="63" applyNumberFormat="1" applyFont="1" applyBorder="1">
      <alignment/>
      <protection/>
    </xf>
    <xf numFmtId="0" fontId="3" fillId="33" borderId="20" xfId="63" applyFont="1" applyFill="1" applyBorder="1" applyAlignment="1">
      <alignment horizontal="center"/>
      <protection/>
    </xf>
    <xf numFmtId="0" fontId="6" fillId="0" borderId="17" xfId="63" applyFont="1" applyBorder="1">
      <alignment/>
      <protection/>
    </xf>
    <xf numFmtId="49" fontId="6" fillId="0" borderId="18" xfId="63" applyNumberFormat="1" applyFont="1" applyBorder="1">
      <alignment/>
      <protection/>
    </xf>
    <xf numFmtId="0" fontId="6" fillId="0" borderId="20" xfId="63" applyFont="1" applyBorder="1">
      <alignment/>
      <protection/>
    </xf>
    <xf numFmtId="3" fontId="6" fillId="0" borderId="20" xfId="63" applyNumberFormat="1" applyFont="1" applyBorder="1">
      <alignment/>
      <protection/>
    </xf>
    <xf numFmtId="0" fontId="7" fillId="0" borderId="20" xfId="63" applyFont="1" applyBorder="1">
      <alignment/>
      <protection/>
    </xf>
    <xf numFmtId="0" fontId="11" fillId="0" borderId="17" xfId="63" applyFont="1" applyBorder="1">
      <alignment/>
      <protection/>
    </xf>
    <xf numFmtId="0" fontId="12" fillId="0" borderId="0" xfId="63" applyFont="1">
      <alignment/>
      <protection/>
    </xf>
    <xf numFmtId="0" fontId="7" fillId="0" borderId="20" xfId="63" applyFont="1" applyBorder="1" applyAlignment="1">
      <alignment horizontal="left" vertical="center" wrapText="1"/>
      <protection/>
    </xf>
    <xf numFmtId="49" fontId="6" fillId="0" borderId="19" xfId="63" applyNumberFormat="1" applyFont="1" applyBorder="1">
      <alignment/>
      <protection/>
    </xf>
    <xf numFmtId="0" fontId="23" fillId="0" borderId="0" xfId="63" applyFont="1">
      <alignment/>
      <protection/>
    </xf>
    <xf numFmtId="0" fontId="6" fillId="0" borderId="20" xfId="63" applyFont="1" applyBorder="1" applyAlignment="1">
      <alignment wrapText="1"/>
      <protection/>
    </xf>
    <xf numFmtId="0" fontId="7" fillId="33" borderId="17" xfId="63" applyFont="1" applyFill="1" applyBorder="1">
      <alignment/>
      <protection/>
    </xf>
    <xf numFmtId="3" fontId="3" fillId="33" borderId="20" xfId="63" applyNumberFormat="1" applyFont="1" applyFill="1" applyBorder="1">
      <alignment/>
      <protection/>
    </xf>
    <xf numFmtId="3" fontId="0" fillId="0" borderId="0" xfId="63" applyNumberFormat="1">
      <alignment/>
      <protection/>
    </xf>
    <xf numFmtId="49" fontId="0" fillId="0" borderId="0" xfId="63" applyNumberFormat="1">
      <alignment/>
      <protection/>
    </xf>
    <xf numFmtId="49" fontId="8" fillId="33" borderId="19" xfId="65" applyNumberFormat="1" applyFont="1" applyFill="1" applyBorder="1" applyAlignment="1">
      <alignment horizontal="left" vertical="center"/>
      <protection/>
    </xf>
    <xf numFmtId="0" fontId="31" fillId="35" borderId="20" xfId="63" applyFont="1" applyFill="1" applyBorder="1">
      <alignment/>
      <protection/>
    </xf>
    <xf numFmtId="3" fontId="22" fillId="35" borderId="20" xfId="63" applyNumberFormat="1" applyFont="1" applyFill="1" applyBorder="1">
      <alignment/>
      <protection/>
    </xf>
    <xf numFmtId="3" fontId="31" fillId="35" borderId="20" xfId="63" applyNumberFormat="1" applyFont="1" applyFill="1" applyBorder="1">
      <alignment/>
      <protection/>
    </xf>
    <xf numFmtId="3" fontId="7" fillId="35" borderId="20" xfId="63" applyNumberFormat="1" applyFont="1" applyFill="1" applyBorder="1">
      <alignment/>
      <protection/>
    </xf>
    <xf numFmtId="0" fontId="3" fillId="0" borderId="34" xfId="62" applyFont="1" applyBorder="1" applyAlignment="1">
      <alignment horizontal="center" vertical="center" wrapText="1"/>
      <protection/>
    </xf>
    <xf numFmtId="0" fontId="3" fillId="0" borderId="35" xfId="62" applyFont="1" applyBorder="1" applyAlignment="1">
      <alignment horizontal="center" vertical="center" wrapText="1"/>
      <protection/>
    </xf>
    <xf numFmtId="0" fontId="6" fillId="0" borderId="36" xfId="62" applyFont="1" applyBorder="1" applyAlignment="1">
      <alignment horizontal="center" vertical="center"/>
      <protection/>
    </xf>
    <xf numFmtId="0" fontId="0" fillId="0" borderId="0" xfId="62" applyBorder="1">
      <alignment/>
      <protection/>
    </xf>
    <xf numFmtId="0" fontId="0" fillId="0" borderId="0" xfId="62" applyFont="1" applyBorder="1" applyAlignment="1">
      <alignment wrapText="1"/>
      <protection/>
    </xf>
    <xf numFmtId="0" fontId="6" fillId="33" borderId="37" xfId="62" applyFont="1" applyFill="1" applyBorder="1" applyAlignment="1">
      <alignment horizontal="center" vertical="center"/>
      <protection/>
    </xf>
    <xf numFmtId="49" fontId="6" fillId="33" borderId="38" xfId="62" applyNumberFormat="1" applyFont="1" applyFill="1" applyBorder="1" applyAlignment="1">
      <alignment horizontal="center" vertical="center"/>
      <protection/>
    </xf>
    <xf numFmtId="49" fontId="6" fillId="33" borderId="39" xfId="62" applyNumberFormat="1" applyFont="1" applyFill="1" applyBorder="1" applyAlignment="1">
      <alignment horizontal="center" vertical="center"/>
      <protection/>
    </xf>
    <xf numFmtId="0" fontId="3" fillId="33" borderId="40" xfId="62" applyFont="1" applyFill="1" applyBorder="1" applyAlignment="1">
      <alignment horizontal="left" vertical="center" wrapText="1"/>
      <protection/>
    </xf>
    <xf numFmtId="3" fontId="6" fillId="33" borderId="40" xfId="62" applyNumberFormat="1" applyFont="1" applyFill="1" applyBorder="1" applyAlignment="1">
      <alignment horizontal="right" vertical="center" wrapText="1"/>
      <protection/>
    </xf>
    <xf numFmtId="0" fontId="0" fillId="0" borderId="21" xfId="62" applyBorder="1">
      <alignment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/>
    </xf>
    <xf numFmtId="49" fontId="7" fillId="0" borderId="43" xfId="0" applyNumberFormat="1" applyFont="1" applyBorder="1" applyAlignment="1">
      <alignment vertical="center"/>
    </xf>
    <xf numFmtId="0" fontId="6" fillId="33" borderId="44" xfId="0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/>
    </xf>
    <xf numFmtId="49" fontId="6" fillId="33" borderId="46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left" vertical="center" wrapText="1"/>
    </xf>
    <xf numFmtId="3" fontId="6" fillId="33" borderId="47" xfId="0" applyNumberFormat="1" applyFont="1" applyFill="1" applyBorder="1" applyAlignment="1">
      <alignment horizontal="right" vertical="center" wrapText="1"/>
    </xf>
    <xf numFmtId="0" fontId="40" fillId="0" borderId="20" xfId="0" applyFont="1" applyFill="1" applyBorder="1" applyAlignment="1">
      <alignment horizontal="left" vertical="center" wrapText="1" indent="2"/>
    </xf>
    <xf numFmtId="0" fontId="6" fillId="0" borderId="48" xfId="62" applyFont="1" applyBorder="1" applyAlignment="1">
      <alignment horizontal="center" vertical="center"/>
      <protection/>
    </xf>
    <xf numFmtId="49" fontId="7" fillId="0" borderId="23" xfId="62" applyNumberFormat="1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left" vertical="center" wrapText="1"/>
      <protection/>
    </xf>
    <xf numFmtId="3" fontId="7" fillId="0" borderId="10" xfId="62" applyNumberFormat="1" applyFont="1" applyBorder="1" applyAlignment="1">
      <alignment horizontal="right" vertical="center" wrapText="1"/>
      <protection/>
    </xf>
    <xf numFmtId="3" fontId="7" fillId="0" borderId="22" xfId="62" applyNumberFormat="1" applyFont="1" applyBorder="1" applyAlignment="1">
      <alignment horizontal="right" vertical="center" wrapText="1"/>
      <protection/>
    </xf>
    <xf numFmtId="0" fontId="31" fillId="0" borderId="20" xfId="63" applyFont="1" applyBorder="1" applyAlignment="1">
      <alignment horizontal="left" indent="2"/>
      <protection/>
    </xf>
    <xf numFmtId="0" fontId="31" fillId="0" borderId="20" xfId="63" applyFont="1" applyBorder="1" applyAlignment="1">
      <alignment horizontal="left" wrapText="1" indent="2"/>
      <protection/>
    </xf>
    <xf numFmtId="0" fontId="7" fillId="35" borderId="17" xfId="63" applyFont="1" applyFill="1" applyBorder="1">
      <alignment/>
      <protection/>
    </xf>
    <xf numFmtId="49" fontId="7" fillId="35" borderId="19" xfId="63" applyNumberFormat="1" applyFont="1" applyFill="1" applyBorder="1">
      <alignment/>
      <protection/>
    </xf>
    <xf numFmtId="0" fontId="6" fillId="0" borderId="49" xfId="0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21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right"/>
    </xf>
    <xf numFmtId="0" fontId="40" fillId="0" borderId="20" xfId="0" applyFont="1" applyFill="1" applyBorder="1" applyAlignment="1">
      <alignment horizontal="left" vertical="center" wrapText="1"/>
    </xf>
    <xf numFmtId="4" fontId="6" fillId="34" borderId="2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9" fillId="0" borderId="50" xfId="0" applyFont="1" applyBorder="1" applyAlignment="1">
      <alignment/>
    </xf>
    <xf numFmtId="3" fontId="6" fillId="33" borderId="18" xfId="0" applyNumberFormat="1" applyFont="1" applyFill="1" applyBorder="1" applyAlignment="1">
      <alignment horizontal="center"/>
    </xf>
    <xf numFmtId="0" fontId="8" fillId="33" borderId="17" xfId="65" applyFont="1" applyFill="1" applyBorder="1">
      <alignment/>
      <protection/>
    </xf>
    <xf numFmtId="0" fontId="8" fillId="33" borderId="19" xfId="65" applyFont="1" applyFill="1" applyBorder="1">
      <alignment/>
      <protection/>
    </xf>
    <xf numFmtId="0" fontId="8" fillId="33" borderId="18" xfId="65" applyFont="1" applyFill="1" applyBorder="1">
      <alignment/>
      <protection/>
    </xf>
    <xf numFmtId="3" fontId="17" fillId="36" borderId="20" xfId="0" applyNumberFormat="1" applyFont="1" applyFill="1" applyBorder="1" applyAlignment="1">
      <alignment/>
    </xf>
    <xf numFmtId="49" fontId="8" fillId="1" borderId="18" xfId="0" applyNumberFormat="1" applyFont="1" applyFill="1" applyBorder="1" applyAlignment="1">
      <alignment/>
    </xf>
    <xf numFmtId="49" fontId="8" fillId="1" borderId="19" xfId="0" applyNumberFormat="1" applyFont="1" applyFill="1" applyBorder="1" applyAlignment="1">
      <alignment/>
    </xf>
    <xf numFmtId="0" fontId="8" fillId="1" borderId="20" xfId="0" applyFont="1" applyFill="1" applyBorder="1" applyAlignment="1">
      <alignment/>
    </xf>
    <xf numFmtId="3" fontId="8" fillId="1" borderId="19" xfId="0" applyNumberFormat="1" applyFont="1" applyFill="1" applyBorder="1" applyAlignment="1">
      <alignment/>
    </xf>
    <xf numFmtId="0" fontId="4" fillId="1" borderId="17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3" fontId="4" fillId="34" borderId="2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11" fillId="0" borderId="18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0" fontId="0" fillId="0" borderId="20" xfId="62" applyBorder="1">
      <alignment/>
      <protection/>
    </xf>
    <xf numFmtId="49" fontId="15" fillId="0" borderId="18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199" fontId="21" fillId="0" borderId="0" xfId="71" applyNumberFormat="1" applyFill="1" applyAlignment="1">
      <alignment horizontal="center" vertical="center" wrapText="1"/>
      <protection/>
    </xf>
    <xf numFmtId="199" fontId="21" fillId="0" borderId="0" xfId="71" applyNumberFormat="1" applyFill="1" applyAlignment="1">
      <alignment vertical="center" wrapText="1"/>
      <protection/>
    </xf>
    <xf numFmtId="199" fontId="44" fillId="0" borderId="0" xfId="71" applyNumberFormat="1" applyFont="1" applyFill="1" applyAlignment="1">
      <alignment horizontal="right"/>
      <protection/>
    </xf>
    <xf numFmtId="199" fontId="45" fillId="0" borderId="0" xfId="71" applyNumberFormat="1" applyFont="1" applyFill="1" applyAlignment="1">
      <alignment vertical="center"/>
      <protection/>
    </xf>
    <xf numFmtId="199" fontId="45" fillId="0" borderId="51" xfId="71" applyNumberFormat="1" applyFont="1" applyFill="1" applyBorder="1" applyAlignment="1">
      <alignment horizontal="center" vertical="center"/>
      <protection/>
    </xf>
    <xf numFmtId="199" fontId="45" fillId="0" borderId="52" xfId="71" applyNumberFormat="1" applyFont="1" applyFill="1" applyBorder="1" applyAlignment="1">
      <alignment horizontal="center" vertical="center" wrapText="1"/>
      <protection/>
    </xf>
    <xf numFmtId="199" fontId="45" fillId="0" borderId="0" xfId="71" applyNumberFormat="1" applyFont="1" applyFill="1" applyAlignment="1">
      <alignment horizontal="center" vertical="center"/>
      <protection/>
    </xf>
    <xf numFmtId="199" fontId="46" fillId="0" borderId="53" xfId="71" applyNumberFormat="1" applyFont="1" applyFill="1" applyBorder="1" applyAlignment="1">
      <alignment horizontal="center" vertical="center" wrapText="1"/>
      <protection/>
    </xf>
    <xf numFmtId="199" fontId="46" fillId="0" borderId="54" xfId="71" applyNumberFormat="1" applyFont="1" applyFill="1" applyBorder="1" applyAlignment="1">
      <alignment horizontal="center" vertical="center" wrapText="1"/>
      <protection/>
    </xf>
    <xf numFmtId="199" fontId="46" fillId="0" borderId="55" xfId="71" applyNumberFormat="1" applyFont="1" applyFill="1" applyBorder="1" applyAlignment="1">
      <alignment horizontal="center" vertical="center" wrapText="1"/>
      <protection/>
    </xf>
    <xf numFmtId="199" fontId="46" fillId="0" borderId="56" xfId="71" applyNumberFormat="1" applyFont="1" applyFill="1" applyBorder="1" applyAlignment="1">
      <alignment horizontal="center" vertical="center" wrapText="1"/>
      <protection/>
    </xf>
    <xf numFmtId="199" fontId="46" fillId="0" borderId="57" xfId="71" applyNumberFormat="1" applyFont="1" applyFill="1" applyBorder="1" applyAlignment="1">
      <alignment horizontal="center" vertical="center" wrapText="1"/>
      <protection/>
    </xf>
    <xf numFmtId="199" fontId="46" fillId="0" borderId="0" xfId="71" applyNumberFormat="1" applyFont="1" applyFill="1" applyAlignment="1">
      <alignment horizontal="center" vertical="center" wrapText="1"/>
      <protection/>
    </xf>
    <xf numFmtId="199" fontId="47" fillId="0" borderId="58" xfId="71" applyNumberFormat="1" applyFont="1" applyFill="1" applyBorder="1" applyAlignment="1">
      <alignment horizontal="center" vertical="center" wrapText="1"/>
      <protection/>
    </xf>
    <xf numFmtId="199" fontId="47" fillId="0" borderId="54" xfId="71" applyNumberFormat="1" applyFont="1" applyFill="1" applyBorder="1" applyAlignment="1">
      <alignment horizontal="left" vertical="center" wrapText="1" indent="1"/>
      <protection/>
    </xf>
    <xf numFmtId="199" fontId="48" fillId="0" borderId="59" xfId="71" applyNumberFormat="1" applyFont="1" applyFill="1" applyBorder="1" applyAlignment="1" applyProtection="1">
      <alignment horizontal="left" vertical="center" wrapText="1" indent="2"/>
      <protection/>
    </xf>
    <xf numFmtId="199" fontId="48" fillId="0" borderId="54" xfId="71" applyNumberFormat="1" applyFont="1" applyFill="1" applyBorder="1" applyAlignment="1" applyProtection="1">
      <alignment vertical="center" wrapText="1"/>
      <protection/>
    </xf>
    <xf numFmtId="199" fontId="48" fillId="0" borderId="59" xfId="71" applyNumberFormat="1" applyFont="1" applyFill="1" applyBorder="1" applyAlignment="1" applyProtection="1">
      <alignment vertical="center" wrapText="1"/>
      <protection/>
    </xf>
    <xf numFmtId="199" fontId="48" fillId="0" borderId="55" xfId="71" applyNumberFormat="1" applyFont="1" applyFill="1" applyBorder="1" applyAlignment="1" applyProtection="1">
      <alignment vertical="center" wrapText="1"/>
      <protection/>
    </xf>
    <xf numFmtId="199" fontId="48" fillId="0" borderId="56" xfId="71" applyNumberFormat="1" applyFont="1" applyFill="1" applyBorder="1" applyAlignment="1" applyProtection="1">
      <alignment vertical="center" wrapText="1"/>
      <protection/>
    </xf>
    <xf numFmtId="199" fontId="48" fillId="0" borderId="54" xfId="71" applyNumberFormat="1" applyFont="1" applyFill="1" applyBorder="1" applyAlignment="1">
      <alignment vertical="center" wrapText="1"/>
      <protection/>
    </xf>
    <xf numFmtId="199" fontId="48" fillId="0" borderId="0" xfId="71" applyNumberFormat="1" applyFont="1" applyFill="1" applyAlignment="1">
      <alignment vertical="center" wrapText="1"/>
      <protection/>
    </xf>
    <xf numFmtId="199" fontId="47" fillId="0" borderId="60" xfId="71" applyNumberFormat="1" applyFont="1" applyFill="1" applyBorder="1" applyAlignment="1">
      <alignment horizontal="center" vertical="center" wrapText="1"/>
      <protection/>
    </xf>
    <xf numFmtId="199" fontId="48" fillId="0" borderId="61" xfId="71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20" xfId="71" applyNumberFormat="1" applyFont="1" applyFill="1" applyBorder="1" applyAlignment="1" applyProtection="1">
      <alignment horizontal="left" vertical="center" wrapText="1" indent="2"/>
      <protection locked="0"/>
    </xf>
    <xf numFmtId="199" fontId="48" fillId="0" borderId="61" xfId="71" applyNumberFormat="1" applyFont="1" applyFill="1" applyBorder="1" applyAlignment="1" applyProtection="1">
      <alignment vertical="center" wrapText="1"/>
      <protection locked="0"/>
    </xf>
    <xf numFmtId="199" fontId="48" fillId="0" borderId="20" xfId="71" applyNumberFormat="1" applyFont="1" applyFill="1" applyBorder="1" applyAlignment="1" applyProtection="1">
      <alignment vertical="center" wrapText="1"/>
      <protection locked="0"/>
    </xf>
    <xf numFmtId="199" fontId="48" fillId="0" borderId="17" xfId="71" applyNumberFormat="1" applyFont="1" applyFill="1" applyBorder="1" applyAlignment="1" applyProtection="1">
      <alignment vertical="center" wrapText="1"/>
      <protection locked="0"/>
    </xf>
    <xf numFmtId="199" fontId="48" fillId="0" borderId="62" xfId="71" applyNumberFormat="1" applyFont="1" applyFill="1" applyBorder="1" applyAlignment="1" applyProtection="1">
      <alignment vertical="center" wrapText="1"/>
      <protection locked="0"/>
    </xf>
    <xf numFmtId="199" fontId="48" fillId="0" borderId="61" xfId="71" applyNumberFormat="1" applyFont="1" applyFill="1" applyBorder="1" applyAlignment="1">
      <alignment vertical="center" wrapText="1"/>
      <protection/>
    </xf>
    <xf numFmtId="199" fontId="47" fillId="0" borderId="54" xfId="71" applyNumberFormat="1" applyFont="1" applyFill="1" applyBorder="1" applyAlignment="1" applyProtection="1">
      <alignment horizontal="left" vertical="center" wrapText="1" indent="1"/>
      <protection locked="0"/>
    </xf>
    <xf numFmtId="199" fontId="31" fillId="0" borderId="59" xfId="71" applyNumberFormat="1" applyFont="1" applyFill="1" applyBorder="1" applyAlignment="1" applyProtection="1">
      <alignment horizontal="left" vertical="center" wrapText="1" indent="2"/>
      <protection/>
    </xf>
    <xf numFmtId="199" fontId="31" fillId="0" borderId="54" xfId="71" applyNumberFormat="1" applyFont="1" applyFill="1" applyBorder="1" applyAlignment="1" applyProtection="1">
      <alignment vertical="center" wrapText="1"/>
      <protection/>
    </xf>
    <xf numFmtId="199" fontId="31" fillId="0" borderId="54" xfId="71" applyNumberFormat="1" applyFont="1" applyFill="1" applyBorder="1" applyAlignment="1">
      <alignment vertical="center" wrapText="1"/>
      <protection/>
    </xf>
    <xf numFmtId="199" fontId="48" fillId="0" borderId="61" xfId="71" applyNumberFormat="1" applyFont="1" applyFill="1" applyBorder="1" applyAlignment="1">
      <alignment horizontal="left" vertical="center" wrapText="1" indent="1"/>
      <protection/>
    </xf>
    <xf numFmtId="180" fontId="31" fillId="0" borderId="20" xfId="71" applyNumberFormat="1" applyFont="1" applyFill="1" applyBorder="1" applyAlignment="1" applyProtection="1">
      <alignment horizontal="left" vertical="center" wrapText="1" indent="2"/>
      <protection locked="0"/>
    </xf>
    <xf numFmtId="199" fontId="31" fillId="0" borderId="61" xfId="71" applyNumberFormat="1" applyFont="1" applyFill="1" applyBorder="1" applyAlignment="1" applyProtection="1">
      <alignment vertical="center" wrapText="1"/>
      <protection locked="0"/>
    </xf>
    <xf numFmtId="199" fontId="31" fillId="0" borderId="62" xfId="71" applyNumberFormat="1" applyFont="1" applyFill="1" applyBorder="1" applyAlignment="1" applyProtection="1">
      <alignment vertical="center" wrapText="1"/>
      <protection locked="0"/>
    </xf>
    <xf numFmtId="199" fontId="31" fillId="0" borderId="61" xfId="71" applyNumberFormat="1" applyFont="1" applyFill="1" applyBorder="1" applyAlignment="1">
      <alignment vertical="center" wrapText="1"/>
      <protection/>
    </xf>
    <xf numFmtId="199" fontId="48" fillId="0" borderId="57" xfId="71" applyNumberFormat="1" applyFont="1" applyFill="1" applyBorder="1" applyAlignment="1">
      <alignment horizontal="left" vertical="center" wrapText="1" indent="1"/>
      <protection/>
    </xf>
    <xf numFmtId="180" fontId="31" fillId="0" borderId="26" xfId="71" applyNumberFormat="1" applyFont="1" applyFill="1" applyBorder="1" applyAlignment="1" applyProtection="1">
      <alignment horizontal="left" vertical="center" wrapText="1" indent="2"/>
      <protection locked="0"/>
    </xf>
    <xf numFmtId="199" fontId="31" fillId="0" borderId="57" xfId="71" applyNumberFormat="1" applyFont="1" applyFill="1" applyBorder="1" applyAlignment="1" applyProtection="1">
      <alignment vertical="center" wrapText="1"/>
      <protection locked="0"/>
    </xf>
    <xf numFmtId="3" fontId="31" fillId="0" borderId="16" xfId="63" applyNumberFormat="1" applyFont="1" applyBorder="1" applyAlignment="1">
      <alignment vertical="center"/>
      <protection/>
    </xf>
    <xf numFmtId="199" fontId="48" fillId="0" borderId="54" xfId="71" applyNumberFormat="1" applyFont="1" applyFill="1" applyBorder="1" applyAlignment="1">
      <alignment horizontal="left" vertical="center" wrapText="1" indent="1"/>
      <protection/>
    </xf>
    <xf numFmtId="180" fontId="31" fillId="0" borderId="59" xfId="71" applyNumberFormat="1" applyFont="1" applyFill="1" applyBorder="1" applyAlignment="1" applyProtection="1">
      <alignment horizontal="left" vertical="center" wrapText="1" indent="2"/>
      <protection locked="0"/>
    </xf>
    <xf numFmtId="199" fontId="31" fillId="0" borderId="54" xfId="71" applyNumberFormat="1" applyFont="1" applyFill="1" applyBorder="1" applyAlignment="1" applyProtection="1">
      <alignment vertical="center" wrapText="1"/>
      <protection locked="0"/>
    </xf>
    <xf numFmtId="3" fontId="31" fillId="0" borderId="26" xfId="63" applyNumberFormat="1" applyFont="1" applyBorder="1" applyAlignment="1">
      <alignment vertical="center"/>
      <protection/>
    </xf>
    <xf numFmtId="3" fontId="31" fillId="0" borderId="63" xfId="63" applyNumberFormat="1" applyFont="1" applyBorder="1" applyAlignment="1">
      <alignment vertical="center"/>
      <protection/>
    </xf>
    <xf numFmtId="3" fontId="31" fillId="0" borderId="59" xfId="63" applyNumberFormat="1" applyFont="1" applyBorder="1" applyAlignment="1">
      <alignment vertical="center"/>
      <protection/>
    </xf>
    <xf numFmtId="3" fontId="31" fillId="0" borderId="55" xfId="63" applyNumberFormat="1" applyFont="1" applyBorder="1" applyAlignment="1">
      <alignment vertical="center"/>
      <protection/>
    </xf>
    <xf numFmtId="3" fontId="31" fillId="0" borderId="56" xfId="63" applyNumberFormat="1" applyFont="1" applyBorder="1" applyAlignment="1">
      <alignment vertical="center"/>
      <protection/>
    </xf>
    <xf numFmtId="199" fontId="48" fillId="0" borderId="0" xfId="71" applyNumberFormat="1" applyFont="1" applyFill="1" applyAlignment="1" applyProtection="1">
      <alignment vertical="center" wrapText="1"/>
      <protection locked="0"/>
    </xf>
    <xf numFmtId="199" fontId="48" fillId="0" borderId="64" xfId="71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0" xfId="71" applyNumberFormat="1" applyFont="1" applyFill="1" applyBorder="1" applyAlignment="1" applyProtection="1">
      <alignment horizontal="left" vertical="center" wrapText="1" indent="2"/>
      <protection locked="0"/>
    </xf>
    <xf numFmtId="199" fontId="48" fillId="0" borderId="64" xfId="71" applyNumberFormat="1" applyFont="1" applyFill="1" applyBorder="1" applyAlignment="1" applyProtection="1">
      <alignment vertical="center" wrapText="1"/>
      <protection locked="0"/>
    </xf>
    <xf numFmtId="199" fontId="48" fillId="0" borderId="10" xfId="71" applyNumberFormat="1" applyFont="1" applyFill="1" applyBorder="1" applyAlignment="1" applyProtection="1">
      <alignment vertical="center" wrapText="1"/>
      <protection locked="0"/>
    </xf>
    <xf numFmtId="199" fontId="48" fillId="0" borderId="22" xfId="71" applyNumberFormat="1" applyFont="1" applyFill="1" applyBorder="1" applyAlignment="1" applyProtection="1">
      <alignment vertical="center" wrapText="1"/>
      <protection locked="0"/>
    </xf>
    <xf numFmtId="199" fontId="48" fillId="0" borderId="65" xfId="71" applyNumberFormat="1" applyFont="1" applyFill="1" applyBorder="1" applyAlignment="1" applyProtection="1">
      <alignment vertical="center" wrapText="1"/>
      <protection locked="0"/>
    </xf>
    <xf numFmtId="199" fontId="48" fillId="0" borderId="64" xfId="71" applyNumberFormat="1" applyFont="1" applyFill="1" applyBorder="1" applyAlignment="1">
      <alignment vertical="center" wrapText="1"/>
      <protection/>
    </xf>
    <xf numFmtId="199" fontId="48" fillId="0" borderId="54" xfId="71" applyNumberFormat="1" applyFont="1" applyFill="1" applyBorder="1" applyAlignment="1" applyProtection="1">
      <alignment vertical="center" wrapText="1"/>
      <protection locked="0"/>
    </xf>
    <xf numFmtId="199" fontId="48" fillId="0" borderId="66" xfId="71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67" xfId="71" applyNumberFormat="1" applyFont="1" applyFill="1" applyBorder="1" applyAlignment="1" applyProtection="1">
      <alignment horizontal="left" vertical="center" wrapText="1" indent="2"/>
      <protection locked="0"/>
    </xf>
    <xf numFmtId="199" fontId="48" fillId="0" borderId="68" xfId="71" applyNumberFormat="1" applyFont="1" applyFill="1" applyBorder="1" applyAlignment="1" applyProtection="1">
      <alignment vertical="center" wrapText="1"/>
      <protection locked="0"/>
    </xf>
    <xf numFmtId="199" fontId="48" fillId="0" borderId="41" xfId="71" applyNumberFormat="1" applyFont="1" applyFill="1" applyBorder="1" applyAlignment="1" applyProtection="1">
      <alignment vertical="center" wrapText="1"/>
      <protection locked="0"/>
    </xf>
    <xf numFmtId="199" fontId="48" fillId="0" borderId="69" xfId="71" applyNumberFormat="1" applyFont="1" applyFill="1" applyBorder="1" applyAlignment="1" applyProtection="1">
      <alignment vertical="center" wrapText="1"/>
      <protection locked="0"/>
    </xf>
    <xf numFmtId="199" fontId="48" fillId="0" borderId="70" xfId="71" applyNumberFormat="1" applyFont="1" applyFill="1" applyBorder="1" applyAlignment="1" applyProtection="1">
      <alignment vertical="center" wrapText="1"/>
      <protection locked="0"/>
    </xf>
    <xf numFmtId="199" fontId="48" fillId="0" borderId="68" xfId="71" applyNumberFormat="1" applyFont="1" applyFill="1" applyBorder="1" applyAlignment="1">
      <alignment vertical="center" wrapText="1"/>
      <protection/>
    </xf>
    <xf numFmtId="199" fontId="48" fillId="0" borderId="71" xfId="71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44" xfId="71" applyNumberFormat="1" applyFont="1" applyFill="1" applyBorder="1" applyAlignment="1" applyProtection="1">
      <alignment horizontal="left" vertical="center" wrapText="1" indent="2"/>
      <protection locked="0"/>
    </xf>
    <xf numFmtId="199" fontId="48" fillId="0" borderId="71" xfId="71" applyNumberFormat="1" applyFont="1" applyFill="1" applyBorder="1" applyAlignment="1" applyProtection="1">
      <alignment vertical="center" wrapText="1"/>
      <protection locked="0"/>
    </xf>
    <xf numFmtId="199" fontId="48" fillId="0" borderId="47" xfId="71" applyNumberFormat="1" applyFont="1" applyFill="1" applyBorder="1" applyAlignment="1" applyProtection="1">
      <alignment vertical="center" wrapText="1"/>
      <protection locked="0"/>
    </xf>
    <xf numFmtId="199" fontId="48" fillId="0" borderId="51" xfId="71" applyNumberFormat="1" applyFont="1" applyFill="1" applyBorder="1" applyAlignment="1" applyProtection="1">
      <alignment vertical="center" wrapText="1"/>
      <protection locked="0"/>
    </xf>
    <xf numFmtId="199" fontId="48" fillId="0" borderId="52" xfId="71" applyNumberFormat="1" applyFont="1" applyFill="1" applyBorder="1" applyAlignment="1" applyProtection="1">
      <alignment vertical="center" wrapText="1"/>
      <protection locked="0"/>
    </xf>
    <xf numFmtId="199" fontId="48" fillId="37" borderId="55" xfId="71" applyNumberFormat="1" applyFont="1" applyFill="1" applyBorder="1" applyAlignment="1" applyProtection="1">
      <alignment horizontal="left" vertical="center" wrapText="1" indent="2"/>
      <protection/>
    </xf>
    <xf numFmtId="49" fontId="45" fillId="0" borderId="0" xfId="71" applyNumberFormat="1" applyFont="1" applyFill="1" applyAlignment="1">
      <alignment vertical="center" wrapText="1"/>
      <protection/>
    </xf>
    <xf numFmtId="49" fontId="48" fillId="0" borderId="0" xfId="71" applyNumberFormat="1" applyFont="1" applyFill="1" applyAlignment="1">
      <alignment wrapText="1"/>
      <protection/>
    </xf>
    <xf numFmtId="0" fontId="48" fillId="0" borderId="0" xfId="71" applyNumberFormat="1" applyFont="1" applyFill="1" applyAlignment="1">
      <alignment wrapText="1"/>
      <protection/>
    </xf>
    <xf numFmtId="199" fontId="45" fillId="0" borderId="0" xfId="71" applyNumberFormat="1" applyFont="1" applyFill="1" applyAlignment="1">
      <alignment vertical="center" wrapText="1"/>
      <protection/>
    </xf>
    <xf numFmtId="199" fontId="49" fillId="0" borderId="0" xfId="71" applyNumberFormat="1" applyFont="1" applyFill="1" applyAlignment="1">
      <alignment vertical="center" wrapText="1"/>
      <protection/>
    </xf>
    <xf numFmtId="0" fontId="46" fillId="0" borderId="0" xfId="68" applyFont="1" applyFill="1" applyAlignment="1">
      <alignment vertical="center"/>
      <protection/>
    </xf>
    <xf numFmtId="0" fontId="21" fillId="0" borderId="0" xfId="68" applyFill="1">
      <alignment/>
      <protection/>
    </xf>
    <xf numFmtId="0" fontId="47" fillId="0" borderId="72" xfId="68" applyFont="1" applyFill="1" applyBorder="1" applyAlignment="1">
      <alignment vertical="center"/>
      <protection/>
    </xf>
    <xf numFmtId="0" fontId="47" fillId="0" borderId="73" xfId="68" applyFont="1" applyFill="1" applyBorder="1" applyAlignment="1">
      <alignment horizontal="center" vertical="center"/>
      <protection/>
    </xf>
    <xf numFmtId="0" fontId="47" fillId="0" borderId="74" xfId="68" applyFont="1" applyFill="1" applyBorder="1" applyAlignment="1">
      <alignment horizontal="center" vertical="center"/>
      <protection/>
    </xf>
    <xf numFmtId="49" fontId="48" fillId="0" borderId="75" xfId="68" applyNumberFormat="1" applyFont="1" applyFill="1" applyBorder="1" applyAlignment="1">
      <alignment vertical="center"/>
      <protection/>
    </xf>
    <xf numFmtId="3" fontId="48" fillId="0" borderId="76" xfId="68" applyNumberFormat="1" applyFont="1" applyFill="1" applyBorder="1" applyAlignment="1" applyProtection="1">
      <alignment vertical="center"/>
      <protection locked="0"/>
    </xf>
    <xf numFmtId="3" fontId="48" fillId="0" borderId="77" xfId="68" applyNumberFormat="1" applyFont="1" applyFill="1" applyBorder="1" applyAlignment="1">
      <alignment vertical="center"/>
      <protection/>
    </xf>
    <xf numFmtId="49" fontId="50" fillId="0" borderId="78" xfId="68" applyNumberFormat="1" applyFont="1" applyFill="1" applyBorder="1" applyAlignment="1">
      <alignment horizontal="left" vertical="center" indent="1"/>
      <protection/>
    </xf>
    <xf numFmtId="3" fontId="50" fillId="0" borderId="79" xfId="68" applyNumberFormat="1" applyFont="1" applyFill="1" applyBorder="1" applyAlignment="1" applyProtection="1">
      <alignment vertical="center"/>
      <protection locked="0"/>
    </xf>
    <xf numFmtId="3" fontId="50" fillId="0" borderId="80" xfId="68" applyNumberFormat="1" applyFont="1" applyFill="1" applyBorder="1" applyAlignment="1">
      <alignment vertical="center"/>
      <protection/>
    </xf>
    <xf numFmtId="49" fontId="48" fillId="0" borderId="78" xfId="68" applyNumberFormat="1" applyFont="1" applyFill="1" applyBorder="1" applyAlignment="1">
      <alignment vertical="center"/>
      <protection/>
    </xf>
    <xf numFmtId="3" fontId="48" fillId="0" borderId="79" xfId="68" applyNumberFormat="1" applyFont="1" applyFill="1" applyBorder="1" applyAlignment="1" applyProtection="1">
      <alignment vertical="center"/>
      <protection locked="0"/>
    </xf>
    <xf numFmtId="3" fontId="48" fillId="0" borderId="80" xfId="68" applyNumberFormat="1" applyFont="1" applyFill="1" applyBorder="1" applyAlignment="1">
      <alignment vertical="center"/>
      <protection/>
    </xf>
    <xf numFmtId="49" fontId="48" fillId="0" borderId="81" xfId="68" applyNumberFormat="1" applyFont="1" applyFill="1" applyBorder="1" applyAlignment="1" applyProtection="1">
      <alignment vertical="center"/>
      <protection locked="0"/>
    </xf>
    <xf numFmtId="3" fontId="48" fillId="0" borderId="82" xfId="68" applyNumberFormat="1" applyFont="1" applyFill="1" applyBorder="1" applyAlignment="1" applyProtection="1">
      <alignment vertical="center"/>
      <protection locked="0"/>
    </xf>
    <xf numFmtId="49" fontId="45" fillId="0" borderId="83" xfId="68" applyNumberFormat="1" applyFont="1" applyFill="1" applyBorder="1" applyAlignment="1">
      <alignment vertical="center"/>
      <protection/>
    </xf>
    <xf numFmtId="3" fontId="47" fillId="0" borderId="84" xfId="68" applyNumberFormat="1" applyFont="1" applyFill="1" applyBorder="1" applyAlignment="1">
      <alignment vertical="center"/>
      <protection/>
    </xf>
    <xf numFmtId="3" fontId="47" fillId="0" borderId="85" xfId="68" applyNumberFormat="1" applyFont="1" applyFill="1" applyBorder="1" applyAlignment="1">
      <alignment vertical="center"/>
      <protection/>
    </xf>
    <xf numFmtId="0" fontId="21" fillId="0" borderId="0" xfId="68" applyFill="1" applyAlignment="1">
      <alignment vertical="center"/>
      <protection/>
    </xf>
    <xf numFmtId="49" fontId="51" fillId="0" borderId="78" xfId="68" applyNumberFormat="1" applyFont="1" applyFill="1" applyBorder="1" applyAlignment="1" applyProtection="1">
      <alignment vertical="center"/>
      <protection locked="0"/>
    </xf>
    <xf numFmtId="49" fontId="51" fillId="0" borderId="81" xfId="68" applyNumberFormat="1" applyFont="1" applyFill="1" applyBorder="1" applyAlignment="1" applyProtection="1">
      <alignment vertical="center"/>
      <protection locked="0"/>
    </xf>
    <xf numFmtId="0" fontId="47" fillId="0" borderId="0" xfId="68" applyFont="1" applyFill="1" applyAlignment="1">
      <alignment vertical="center"/>
      <protection/>
    </xf>
    <xf numFmtId="0" fontId="21" fillId="0" borderId="0" xfId="68" applyFill="1" applyAlignment="1">
      <alignment/>
      <protection/>
    </xf>
    <xf numFmtId="3" fontId="51" fillId="0" borderId="82" xfId="68" applyNumberFormat="1" applyFont="1" applyFill="1" applyBorder="1" applyAlignment="1" applyProtection="1">
      <alignment vertical="center"/>
      <protection locked="0"/>
    </xf>
    <xf numFmtId="3" fontId="51" fillId="0" borderId="80" xfId="68" applyNumberFormat="1" applyFont="1" applyFill="1" applyBorder="1" applyAlignment="1">
      <alignment vertical="center"/>
      <protection/>
    </xf>
    <xf numFmtId="49" fontId="48" fillId="0" borderId="86" xfId="68" applyNumberFormat="1" applyFont="1" applyFill="1" applyBorder="1" applyAlignment="1">
      <alignment vertical="center"/>
      <protection/>
    </xf>
    <xf numFmtId="49" fontId="48" fillId="0" borderId="87" xfId="68" applyNumberFormat="1" applyFont="1" applyFill="1" applyBorder="1" applyAlignment="1">
      <alignment vertical="center"/>
      <protection/>
    </xf>
    <xf numFmtId="49" fontId="48" fillId="0" borderId="88" xfId="68" applyNumberFormat="1" applyFont="1" applyFill="1" applyBorder="1" applyAlignment="1">
      <alignment vertical="center"/>
      <protection/>
    </xf>
    <xf numFmtId="49" fontId="45" fillId="0" borderId="89" xfId="68" applyNumberFormat="1" applyFont="1" applyFill="1" applyBorder="1" applyAlignment="1">
      <alignment vertical="center"/>
      <protection/>
    </xf>
    <xf numFmtId="49" fontId="48" fillId="0" borderId="90" xfId="68" applyNumberFormat="1" applyFont="1" applyFill="1" applyBorder="1" applyAlignment="1">
      <alignment vertical="center"/>
      <protection/>
    </xf>
    <xf numFmtId="199" fontId="26" fillId="0" borderId="0" xfId="71" applyNumberFormat="1" applyFont="1" applyFill="1" applyAlignment="1">
      <alignment horizontal="center" vertical="center" wrapText="1"/>
      <protection/>
    </xf>
    <xf numFmtId="199" fontId="26" fillId="0" borderId="0" xfId="71" applyNumberFormat="1" applyFont="1" applyFill="1" applyAlignment="1">
      <alignment vertical="center" wrapText="1"/>
      <protection/>
    </xf>
    <xf numFmtId="199" fontId="39" fillId="0" borderId="0" xfId="71" applyNumberFormat="1" applyFont="1" applyFill="1" applyAlignment="1">
      <alignment horizontal="right" vertical="center"/>
      <protection/>
    </xf>
    <xf numFmtId="0" fontId="52" fillId="0" borderId="58" xfId="71" applyFont="1" applyFill="1" applyBorder="1" applyAlignment="1">
      <alignment horizontal="center" vertical="center" wrapText="1"/>
      <protection/>
    </xf>
    <xf numFmtId="0" fontId="52" fillId="0" borderId="59" xfId="71" applyFont="1" applyFill="1" applyBorder="1" applyAlignment="1">
      <alignment horizontal="center" vertical="center" wrapText="1"/>
      <protection/>
    </xf>
    <xf numFmtId="0" fontId="52" fillId="0" borderId="56" xfId="71" applyFont="1" applyFill="1" applyBorder="1" applyAlignment="1">
      <alignment horizontal="center" vertical="center" wrapText="1"/>
      <protection/>
    </xf>
    <xf numFmtId="0" fontId="39" fillId="0" borderId="0" xfId="71" applyFont="1" applyFill="1" applyAlignment="1">
      <alignment horizontal="center" vertical="center" wrapText="1"/>
      <protection/>
    </xf>
    <xf numFmtId="0" fontId="53" fillId="0" borderId="58" xfId="71" applyFont="1" applyFill="1" applyBorder="1" applyAlignment="1">
      <alignment horizontal="center" vertical="center" wrapText="1"/>
      <protection/>
    </xf>
    <xf numFmtId="0" fontId="53" fillId="0" borderId="59" xfId="71" applyFont="1" applyFill="1" applyBorder="1" applyAlignment="1">
      <alignment horizontal="center" vertical="center" wrapText="1"/>
      <protection/>
    </xf>
    <xf numFmtId="0" fontId="53" fillId="0" borderId="56" xfId="71" applyFont="1" applyFill="1" applyBorder="1" applyAlignment="1">
      <alignment horizontal="center" vertical="center" wrapText="1"/>
      <protection/>
    </xf>
    <xf numFmtId="0" fontId="51" fillId="0" borderId="91" xfId="71" applyFont="1" applyFill="1" applyBorder="1" applyAlignment="1">
      <alignment horizontal="center" vertical="center" wrapText="1"/>
      <protection/>
    </xf>
    <xf numFmtId="0" fontId="51" fillId="0" borderId="16" xfId="71" applyFont="1" applyFill="1" applyBorder="1" applyAlignment="1" applyProtection="1">
      <alignment vertical="center" wrapText="1"/>
      <protection locked="0"/>
    </xf>
    <xf numFmtId="199" fontId="51" fillId="0" borderId="16" xfId="71" applyNumberFormat="1" applyFont="1" applyFill="1" applyBorder="1" applyAlignment="1" applyProtection="1">
      <alignment horizontal="right" vertical="center" wrapText="1" indent="1"/>
      <protection locked="0"/>
    </xf>
    <xf numFmtId="199" fontId="51" fillId="0" borderId="92" xfId="7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71" applyFill="1" applyAlignment="1">
      <alignment vertical="center" wrapText="1"/>
      <protection/>
    </xf>
    <xf numFmtId="0" fontId="51" fillId="0" borderId="60" xfId="71" applyFont="1" applyFill="1" applyBorder="1" applyAlignment="1">
      <alignment horizontal="center" vertical="center" wrapText="1"/>
      <protection/>
    </xf>
    <xf numFmtId="0" fontId="51" fillId="0" borderId="20" xfId="71" applyFont="1" applyFill="1" applyBorder="1" applyAlignment="1" applyProtection="1">
      <alignment vertical="center" wrapText="1"/>
      <protection locked="0"/>
    </xf>
    <xf numFmtId="199" fontId="51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199" fontId="51" fillId="0" borderId="62" xfId="71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93" xfId="71" applyFont="1" applyFill="1" applyBorder="1" applyAlignment="1">
      <alignment horizontal="center" vertical="center" wrapText="1"/>
      <protection/>
    </xf>
    <xf numFmtId="0" fontId="51" fillId="0" borderId="47" xfId="71" applyFont="1" applyFill="1" applyBorder="1" applyAlignment="1" applyProtection="1">
      <alignment vertical="center" wrapText="1"/>
      <protection locked="0"/>
    </xf>
    <xf numFmtId="199" fontId="51" fillId="0" borderId="47" xfId="71" applyNumberFormat="1" applyFont="1" applyFill="1" applyBorder="1" applyAlignment="1" applyProtection="1">
      <alignment horizontal="right" vertical="center" wrapText="1" indent="1"/>
      <protection locked="0"/>
    </xf>
    <xf numFmtId="199" fontId="51" fillId="0" borderId="52" xfId="71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94" xfId="71" applyFont="1" applyFill="1" applyBorder="1" applyAlignment="1">
      <alignment horizontal="center" vertical="center" wrapText="1"/>
      <protection/>
    </xf>
    <xf numFmtId="0" fontId="52" fillId="0" borderId="95" xfId="71" applyFont="1" applyFill="1" applyBorder="1" applyAlignment="1">
      <alignment vertical="center" wrapText="1"/>
      <protection/>
    </xf>
    <xf numFmtId="199" fontId="53" fillId="0" borderId="95" xfId="71" applyNumberFormat="1" applyFont="1" applyFill="1" applyBorder="1" applyAlignment="1">
      <alignment vertical="center" wrapText="1"/>
      <protection/>
    </xf>
    <xf numFmtId="199" fontId="53" fillId="0" borderId="96" xfId="71" applyNumberFormat="1" applyFont="1" applyFill="1" applyBorder="1" applyAlignment="1">
      <alignment vertical="center" wrapText="1"/>
      <protection/>
    </xf>
    <xf numFmtId="0" fontId="21" fillId="0" borderId="0" xfId="71" applyFill="1" applyAlignment="1">
      <alignment horizontal="right" vertical="center" wrapText="1"/>
      <protection/>
    </xf>
    <xf numFmtId="0" fontId="21" fillId="0" borderId="0" xfId="71" applyFill="1" applyAlignment="1">
      <alignment horizontal="center" vertical="center" wrapText="1"/>
      <protection/>
    </xf>
    <xf numFmtId="0" fontId="52" fillId="0" borderId="97" xfId="72" applyFont="1" applyFill="1" applyBorder="1" applyAlignment="1" applyProtection="1">
      <alignment horizontal="center" vertical="center" wrapText="1"/>
      <protection/>
    </xf>
    <xf numFmtId="0" fontId="52" fillId="0" borderId="42" xfId="72" applyFont="1" applyFill="1" applyBorder="1" applyAlignment="1" applyProtection="1">
      <alignment horizontal="center" vertical="center"/>
      <protection/>
    </xf>
    <xf numFmtId="0" fontId="52" fillId="0" borderId="98" xfId="72" applyFont="1" applyFill="1" applyBorder="1" applyAlignment="1" applyProtection="1">
      <alignment horizontal="center" vertical="center"/>
      <protection/>
    </xf>
    <xf numFmtId="0" fontId="48" fillId="0" borderId="0" xfId="72" applyFill="1" applyProtection="1">
      <alignment/>
      <protection/>
    </xf>
    <xf numFmtId="0" fontId="51" fillId="0" borderId="58" xfId="72" applyFont="1" applyFill="1" applyBorder="1" applyAlignment="1" applyProtection="1">
      <alignment horizontal="left" vertical="center" indent="1"/>
      <protection/>
    </xf>
    <xf numFmtId="0" fontId="48" fillId="0" borderId="0" xfId="72" applyFill="1" applyAlignment="1" applyProtection="1">
      <alignment vertical="center"/>
      <protection/>
    </xf>
    <xf numFmtId="0" fontId="51" fillId="0" borderId="99" xfId="72" applyFont="1" applyFill="1" applyBorder="1" applyAlignment="1" applyProtection="1">
      <alignment horizontal="left" vertical="center" indent="1"/>
      <protection/>
    </xf>
    <xf numFmtId="0" fontId="51" fillId="0" borderId="26" xfId="72" applyFont="1" applyFill="1" applyBorder="1" applyAlignment="1" applyProtection="1">
      <alignment horizontal="left" vertical="center" indent="1"/>
      <protection/>
    </xf>
    <xf numFmtId="199" fontId="51" fillId="0" borderId="26" xfId="72" applyNumberFormat="1" applyFont="1" applyFill="1" applyBorder="1" applyAlignment="1" applyProtection="1">
      <alignment vertical="center"/>
      <protection locked="0"/>
    </xf>
    <xf numFmtId="199" fontId="51" fillId="0" borderId="100" xfId="72" applyNumberFormat="1" applyFont="1" applyFill="1" applyBorder="1" applyAlignment="1" applyProtection="1">
      <alignment vertical="center"/>
      <protection/>
    </xf>
    <xf numFmtId="0" fontId="51" fillId="0" borderId="60" xfId="72" applyFont="1" applyFill="1" applyBorder="1" applyAlignment="1" applyProtection="1">
      <alignment horizontal="left" vertical="center" indent="1"/>
      <protection/>
    </xf>
    <xf numFmtId="0" fontId="51" fillId="0" borderId="20" xfId="72" applyFont="1" applyFill="1" applyBorder="1" applyAlignment="1" applyProtection="1">
      <alignment horizontal="left" vertical="center" indent="1"/>
      <protection locked="0"/>
    </xf>
    <xf numFmtId="199" fontId="51" fillId="0" borderId="20" xfId="72" applyNumberFormat="1" applyFont="1" applyFill="1" applyBorder="1" applyAlignment="1" applyProtection="1">
      <alignment vertical="center"/>
      <protection locked="0"/>
    </xf>
    <xf numFmtId="199" fontId="51" fillId="0" borderId="62" xfId="72" applyNumberFormat="1" applyFont="1" applyFill="1" applyBorder="1" applyAlignment="1" applyProtection="1">
      <alignment vertical="center"/>
      <protection/>
    </xf>
    <xf numFmtId="0" fontId="48" fillId="0" borderId="0" xfId="72" applyFill="1" applyAlignment="1" applyProtection="1">
      <alignment vertical="center"/>
      <protection locked="0"/>
    </xf>
    <xf numFmtId="0" fontId="51" fillId="0" borderId="16" xfId="72" applyFont="1" applyFill="1" applyBorder="1" applyAlignment="1" applyProtection="1">
      <alignment horizontal="left" vertical="center" indent="1"/>
      <protection locked="0"/>
    </xf>
    <xf numFmtId="199" fontId="51" fillId="0" borderId="16" xfId="72" applyNumberFormat="1" applyFont="1" applyFill="1" applyBorder="1" applyAlignment="1" applyProtection="1">
      <alignment vertical="center"/>
      <protection locked="0"/>
    </xf>
    <xf numFmtId="199" fontId="51" fillId="0" borderId="92" xfId="72" applyNumberFormat="1" applyFont="1" applyFill="1" applyBorder="1" applyAlignment="1" applyProtection="1">
      <alignment vertical="center"/>
      <protection/>
    </xf>
    <xf numFmtId="0" fontId="51" fillId="0" borderId="10" xfId="72" applyFont="1" applyFill="1" applyBorder="1" applyAlignment="1" applyProtection="1">
      <alignment horizontal="left" vertical="center" indent="1"/>
      <protection locked="0"/>
    </xf>
    <xf numFmtId="199" fontId="51" fillId="0" borderId="10" xfId="72" applyNumberFormat="1" applyFont="1" applyFill="1" applyBorder="1" applyAlignment="1" applyProtection="1">
      <alignment vertical="center"/>
      <protection locked="0"/>
    </xf>
    <xf numFmtId="199" fontId="51" fillId="0" borderId="65" xfId="72" applyNumberFormat="1" applyFont="1" applyFill="1" applyBorder="1" applyAlignment="1" applyProtection="1">
      <alignment vertical="center"/>
      <protection/>
    </xf>
    <xf numFmtId="0" fontId="52" fillId="0" borderId="59" xfId="72" applyFont="1" applyFill="1" applyBorder="1" applyAlignment="1" applyProtection="1">
      <alignment horizontal="left" vertical="center" indent="1"/>
      <protection/>
    </xf>
    <xf numFmtId="199" fontId="53" fillId="0" borderId="59" xfId="72" applyNumberFormat="1" applyFont="1" applyFill="1" applyBorder="1" applyAlignment="1" applyProtection="1">
      <alignment vertical="center"/>
      <protection/>
    </xf>
    <xf numFmtId="199" fontId="53" fillId="0" borderId="56" xfId="72" applyNumberFormat="1" applyFont="1" applyFill="1" applyBorder="1" applyAlignment="1" applyProtection="1">
      <alignment vertical="center"/>
      <protection/>
    </xf>
    <xf numFmtId="0" fontId="51" fillId="0" borderId="91" xfId="72" applyFont="1" applyFill="1" applyBorder="1" applyAlignment="1" applyProtection="1">
      <alignment horizontal="left" vertical="center" indent="1"/>
      <protection/>
    </xf>
    <xf numFmtId="0" fontId="53" fillId="0" borderId="58" xfId="72" applyFont="1" applyFill="1" applyBorder="1" applyAlignment="1" applyProtection="1">
      <alignment horizontal="left" vertical="center" indent="1"/>
      <protection/>
    </xf>
    <xf numFmtId="0" fontId="53" fillId="0" borderId="58" xfId="72" applyFont="1" applyFill="1" applyBorder="1" applyAlignment="1" applyProtection="1">
      <alignment horizontal="center"/>
      <protection/>
    </xf>
    <xf numFmtId="0" fontId="52" fillId="0" borderId="59" xfId="72" applyFont="1" applyFill="1" applyBorder="1" applyAlignment="1" applyProtection="1">
      <alignment horizontal="left" indent="1"/>
      <protection locked="0"/>
    </xf>
    <xf numFmtId="199" fontId="53" fillId="0" borderId="59" xfId="72" applyNumberFormat="1" applyFont="1" applyFill="1" applyBorder="1" applyProtection="1">
      <alignment/>
      <protection/>
    </xf>
    <xf numFmtId="199" fontId="53" fillId="0" borderId="56" xfId="72" applyNumberFormat="1" applyFont="1" applyFill="1" applyBorder="1" applyProtection="1">
      <alignment/>
      <protection/>
    </xf>
    <xf numFmtId="0" fontId="48" fillId="0" borderId="0" xfId="72" applyFill="1" applyProtection="1">
      <alignment/>
      <protection locked="0"/>
    </xf>
    <xf numFmtId="0" fontId="21" fillId="0" borderId="0" xfId="72" applyFont="1" applyFill="1" applyProtection="1">
      <alignment/>
      <protection/>
    </xf>
    <xf numFmtId="0" fontId="25" fillId="0" borderId="0" xfId="72" applyFont="1" applyFill="1" applyProtection="1">
      <alignment/>
      <protection locked="0"/>
    </xf>
    <xf numFmtId="0" fontId="47" fillId="0" borderId="0" xfId="72" applyFont="1" applyFill="1" applyProtection="1">
      <alignment/>
      <protection locked="0"/>
    </xf>
    <xf numFmtId="199" fontId="45" fillId="0" borderId="67" xfId="71" applyNumberFormat="1" applyFont="1" applyFill="1" applyBorder="1" applyAlignment="1">
      <alignment horizontal="centerContinuous" vertical="center" wrapText="1"/>
      <protection/>
    </xf>
    <xf numFmtId="199" fontId="45" fillId="0" borderId="101" xfId="71" applyNumberFormat="1" applyFont="1" applyFill="1" applyBorder="1" applyAlignment="1">
      <alignment horizontal="centerContinuous" vertical="center"/>
      <protection/>
    </xf>
    <xf numFmtId="199" fontId="45" fillId="0" borderId="102" xfId="71" applyNumberFormat="1" applyFont="1" applyFill="1" applyBorder="1" applyAlignment="1">
      <alignment horizontal="centerContinuous" vertical="center"/>
      <protection/>
    </xf>
    <xf numFmtId="199" fontId="48" fillId="0" borderId="54" xfId="71" applyNumberFormat="1" applyFont="1" applyFill="1" applyBorder="1" applyAlignment="1">
      <alignment horizontal="left" vertical="center" wrapText="1" indent="2"/>
      <protection/>
    </xf>
    <xf numFmtId="199" fontId="48" fillId="0" borderId="103" xfId="71" applyNumberFormat="1" applyFont="1" applyFill="1" applyBorder="1" applyAlignment="1">
      <alignment horizontal="left" vertical="center" wrapText="1" indent="2"/>
      <protection/>
    </xf>
    <xf numFmtId="199" fontId="47" fillId="0" borderId="58" xfId="71" applyNumberFormat="1" applyFont="1" applyFill="1" applyBorder="1" applyAlignment="1">
      <alignment vertical="center" wrapText="1"/>
      <protection/>
    </xf>
    <xf numFmtId="199" fontId="47" fillId="0" borderId="59" xfId="71" applyNumberFormat="1" applyFont="1" applyFill="1" applyBorder="1" applyAlignment="1">
      <alignment vertical="center" wrapText="1"/>
      <protection/>
    </xf>
    <xf numFmtId="199" fontId="47" fillId="0" borderId="56" xfId="71" applyNumberFormat="1" applyFont="1" applyFill="1" applyBorder="1" applyAlignment="1">
      <alignment vertical="center" wrapText="1"/>
      <protection/>
    </xf>
    <xf numFmtId="180" fontId="48" fillId="0" borderId="61" xfId="71" applyNumberFormat="1" applyFont="1" applyFill="1" applyBorder="1" applyAlignment="1" applyProtection="1">
      <alignment horizontal="left" vertical="center" wrapText="1" indent="2"/>
      <protection locked="0"/>
    </xf>
    <xf numFmtId="199" fontId="48" fillId="0" borderId="60" xfId="71" applyNumberFormat="1" applyFont="1" applyFill="1" applyBorder="1" applyAlignment="1" applyProtection="1">
      <alignment vertical="center" wrapText="1"/>
      <protection locked="0"/>
    </xf>
    <xf numFmtId="199" fontId="47" fillId="0" borderId="99" xfId="71" applyNumberFormat="1" applyFont="1" applyFill="1" applyBorder="1" applyAlignment="1">
      <alignment horizontal="center" vertical="center" wrapText="1"/>
      <protection/>
    </xf>
    <xf numFmtId="199" fontId="47" fillId="0" borderId="54" xfId="71" applyNumberFormat="1" applyFont="1" applyFill="1" applyBorder="1" applyAlignment="1">
      <alignment horizontal="center" vertical="center" wrapText="1"/>
      <protection/>
    </xf>
    <xf numFmtId="199" fontId="48" fillId="0" borderId="26" xfId="71" applyNumberFormat="1" applyFont="1" applyFill="1" applyBorder="1" applyAlignment="1" applyProtection="1">
      <alignment vertical="center" wrapText="1"/>
      <protection locked="0"/>
    </xf>
    <xf numFmtId="199" fontId="48" fillId="0" borderId="100" xfId="71" applyNumberFormat="1" applyFont="1" applyFill="1" applyBorder="1" applyAlignment="1" applyProtection="1">
      <alignment vertical="center" wrapText="1"/>
      <protection locked="0"/>
    </xf>
    <xf numFmtId="199" fontId="45" fillId="0" borderId="58" xfId="71" applyNumberFormat="1" applyFont="1" applyFill="1" applyBorder="1" applyAlignment="1">
      <alignment horizontal="center" vertical="center" wrapText="1"/>
      <protection/>
    </xf>
    <xf numFmtId="199" fontId="45" fillId="0" borderId="54" xfId="71" applyNumberFormat="1" applyFont="1" applyFill="1" applyBorder="1" applyAlignment="1">
      <alignment horizontal="left" vertical="center" wrapText="1" indent="1"/>
      <protection/>
    </xf>
    <xf numFmtId="199" fontId="56" fillId="37" borderId="54" xfId="71" applyNumberFormat="1" applyFont="1" applyFill="1" applyBorder="1" applyAlignment="1">
      <alignment horizontal="left" vertical="center" wrapText="1" indent="2"/>
      <protection/>
    </xf>
    <xf numFmtId="199" fontId="56" fillId="37" borderId="103" xfId="71" applyNumberFormat="1" applyFont="1" applyFill="1" applyBorder="1" applyAlignment="1">
      <alignment horizontal="left" vertical="center" wrapText="1" indent="2"/>
      <protection/>
    </xf>
    <xf numFmtId="199" fontId="45" fillId="0" borderId="58" xfId="71" applyNumberFormat="1" applyFont="1" applyFill="1" applyBorder="1" applyAlignment="1">
      <alignment vertical="center" wrapText="1"/>
      <protection/>
    </xf>
    <xf numFmtId="199" fontId="45" fillId="0" borderId="59" xfId="71" applyNumberFormat="1" applyFont="1" applyFill="1" applyBorder="1" applyAlignment="1">
      <alignment vertical="center" wrapText="1"/>
      <protection/>
    </xf>
    <xf numFmtId="199" fontId="45" fillId="0" borderId="56" xfId="71" applyNumberFormat="1" applyFont="1" applyFill="1" applyBorder="1" applyAlignment="1">
      <alignment vertical="center" wrapText="1"/>
      <protection/>
    </xf>
    <xf numFmtId="199" fontId="56" fillId="0" borderId="0" xfId="71" applyNumberFormat="1" applyFont="1" applyFill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3" fontId="6" fillId="0" borderId="20" xfId="63" applyNumberFormat="1" applyFont="1" applyBorder="1" applyAlignment="1">
      <alignment horizontal="center" vertical="center" wrapText="1"/>
      <protection/>
    </xf>
    <xf numFmtId="9" fontId="3" fillId="0" borderId="10" xfId="63" applyNumberFormat="1" applyFont="1" applyBorder="1" applyAlignment="1">
      <alignment horizontal="center" vertical="center" wrapText="1"/>
      <protection/>
    </xf>
    <xf numFmtId="3" fontId="8" fillId="34" borderId="16" xfId="63" applyNumberFormat="1" applyFont="1" applyFill="1" applyBorder="1">
      <alignment/>
      <protection/>
    </xf>
    <xf numFmtId="3" fontId="8" fillId="34" borderId="20" xfId="63" applyNumberFormat="1" applyFont="1" applyFill="1" applyBorder="1">
      <alignment/>
      <protection/>
    </xf>
    <xf numFmtId="3" fontId="8" fillId="33" borderId="16" xfId="63" applyNumberFormat="1" applyFont="1" applyFill="1" applyBorder="1">
      <alignment/>
      <protection/>
    </xf>
    <xf numFmtId="3" fontId="8" fillId="33" borderId="20" xfId="63" applyNumberFormat="1" applyFont="1" applyFill="1" applyBorder="1">
      <alignment/>
      <protection/>
    </xf>
    <xf numFmtId="0" fontId="9" fillId="0" borderId="17" xfId="63" applyFont="1" applyBorder="1">
      <alignment/>
      <protection/>
    </xf>
    <xf numFmtId="49" fontId="8" fillId="0" borderId="18" xfId="63" applyNumberFormat="1" applyFont="1" applyBorder="1">
      <alignment/>
      <protection/>
    </xf>
    <xf numFmtId="49" fontId="8" fillId="0" borderId="19" xfId="63" applyNumberFormat="1" applyFont="1" applyBorder="1">
      <alignment/>
      <protection/>
    </xf>
    <xf numFmtId="0" fontId="8" fillId="0" borderId="20" xfId="63" applyFont="1" applyBorder="1">
      <alignment/>
      <protection/>
    </xf>
    <xf numFmtId="3" fontId="8" fillId="0" borderId="20" xfId="63" applyNumberFormat="1" applyFont="1" applyBorder="1">
      <alignment/>
      <protection/>
    </xf>
    <xf numFmtId="0" fontId="32" fillId="0" borderId="0" xfId="63" applyFont="1">
      <alignment/>
      <protection/>
    </xf>
    <xf numFmtId="3" fontId="8" fillId="1" borderId="16" xfId="63" applyNumberFormat="1" applyFont="1" applyFill="1" applyBorder="1">
      <alignment/>
      <protection/>
    </xf>
    <xf numFmtId="3" fontId="8" fillId="33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0" fontId="7" fillId="0" borderId="13" xfId="63" applyFont="1" applyBorder="1">
      <alignment/>
      <protection/>
    </xf>
    <xf numFmtId="49" fontId="6" fillId="0" borderId="14" xfId="63" applyNumberFormat="1" applyFont="1" applyBorder="1">
      <alignment/>
      <protection/>
    </xf>
    <xf numFmtId="49" fontId="6" fillId="0" borderId="15" xfId="63" applyNumberFormat="1" applyFont="1" applyBorder="1">
      <alignment/>
      <protection/>
    </xf>
    <xf numFmtId="0" fontId="6" fillId="0" borderId="16" xfId="63" applyFont="1" applyBorder="1">
      <alignment/>
      <protection/>
    </xf>
    <xf numFmtId="3" fontId="6" fillId="0" borderId="16" xfId="63" applyNumberFormat="1" applyFont="1" applyBorder="1">
      <alignment/>
      <protection/>
    </xf>
    <xf numFmtId="3" fontId="23" fillId="0" borderId="0" xfId="63" applyNumberFormat="1" applyFont="1">
      <alignment/>
      <protection/>
    </xf>
    <xf numFmtId="3" fontId="8" fillId="1" borderId="20" xfId="63" applyNumberFormat="1" applyFont="1" applyFill="1" applyBorder="1">
      <alignment/>
      <protection/>
    </xf>
    <xf numFmtId="0" fontId="8" fillId="33" borderId="17" xfId="63" applyFont="1" applyFill="1" applyBorder="1">
      <alignment/>
      <protection/>
    </xf>
    <xf numFmtId="49" fontId="8" fillId="33" borderId="18" xfId="63" applyNumberFormat="1" applyFont="1" applyFill="1" applyBorder="1">
      <alignment/>
      <protection/>
    </xf>
    <xf numFmtId="49" fontId="8" fillId="33" borderId="19" xfId="63" applyNumberFormat="1" applyFont="1" applyFill="1" applyBorder="1">
      <alignment/>
      <protection/>
    </xf>
    <xf numFmtId="0" fontId="8" fillId="33" borderId="20" xfId="63" applyFont="1" applyFill="1" applyBorder="1">
      <alignment/>
      <protection/>
    </xf>
    <xf numFmtId="16" fontId="9" fillId="0" borderId="17" xfId="63" applyNumberFormat="1" applyFont="1" applyBorder="1">
      <alignment/>
      <protection/>
    </xf>
    <xf numFmtId="0" fontId="6" fillId="0" borderId="22" xfId="63" applyFont="1" applyBorder="1">
      <alignment/>
      <protection/>
    </xf>
    <xf numFmtId="49" fontId="6" fillId="0" borderId="25" xfId="63" applyNumberFormat="1" applyFont="1" applyBorder="1">
      <alignment/>
      <protection/>
    </xf>
    <xf numFmtId="49" fontId="7" fillId="0" borderId="23" xfId="63" applyNumberFormat="1" applyFont="1" applyBorder="1">
      <alignment/>
      <protection/>
    </xf>
    <xf numFmtId="0" fontId="24" fillId="0" borderId="10" xfId="63" applyFont="1" applyFill="1" applyBorder="1" applyAlignment="1">
      <alignment vertical="center" wrapText="1"/>
      <protection/>
    </xf>
    <xf numFmtId="3" fontId="7" fillId="0" borderId="10" xfId="63" applyNumberFormat="1" applyFont="1" applyBorder="1">
      <alignment/>
      <protection/>
    </xf>
    <xf numFmtId="3" fontId="32" fillId="0" borderId="0" xfId="63" applyNumberFormat="1" applyFont="1">
      <alignment/>
      <protection/>
    </xf>
    <xf numFmtId="0" fontId="3" fillId="0" borderId="30" xfId="63" applyFont="1" applyBorder="1">
      <alignment/>
      <protection/>
    </xf>
    <xf numFmtId="49" fontId="31" fillId="34" borderId="31" xfId="63" applyNumberFormat="1" applyFont="1" applyFill="1" applyBorder="1" applyAlignment="1">
      <alignment/>
      <protection/>
    </xf>
    <xf numFmtId="49" fontId="3" fillId="34" borderId="32" xfId="63" applyNumberFormat="1" applyFont="1" applyFill="1" applyBorder="1" applyAlignment="1">
      <alignment/>
      <protection/>
    </xf>
    <xf numFmtId="0" fontId="31" fillId="34" borderId="104" xfId="63" applyFont="1" applyFill="1" applyBorder="1">
      <alignment/>
      <protection/>
    </xf>
    <xf numFmtId="3" fontId="31" fillId="34" borderId="104" xfId="63" applyNumberFormat="1" applyFont="1" applyFill="1" applyBorder="1">
      <alignment/>
      <protection/>
    </xf>
    <xf numFmtId="49" fontId="7" fillId="0" borderId="14" xfId="63" applyNumberFormat="1" applyFont="1" applyBorder="1">
      <alignment/>
      <protection/>
    </xf>
    <xf numFmtId="49" fontId="7" fillId="0" borderId="15" xfId="63" applyNumberFormat="1" applyFont="1" applyBorder="1">
      <alignment/>
      <protection/>
    </xf>
    <xf numFmtId="3" fontId="7" fillId="0" borderId="16" xfId="63" applyNumberFormat="1" applyFont="1" applyBorder="1">
      <alignment/>
      <protection/>
    </xf>
    <xf numFmtId="0" fontId="6" fillId="0" borderId="13" xfId="63" applyFont="1" applyBorder="1">
      <alignment/>
      <protection/>
    </xf>
    <xf numFmtId="0" fontId="8" fillId="0" borderId="17" xfId="63" applyFont="1" applyBorder="1">
      <alignment/>
      <protection/>
    </xf>
    <xf numFmtId="0" fontId="52" fillId="0" borderId="105" xfId="71" applyFont="1" applyBorder="1" applyAlignment="1">
      <alignment horizontal="center" vertical="center" wrapText="1"/>
      <protection/>
    </xf>
    <xf numFmtId="0" fontId="47" fillId="0" borderId="41" xfId="71" applyFont="1" applyBorder="1" applyAlignment="1">
      <alignment horizontal="center" vertical="center"/>
      <protection/>
    </xf>
    <xf numFmtId="0" fontId="47" fillId="0" borderId="70" xfId="71" applyFont="1" applyBorder="1" applyAlignment="1">
      <alignment horizontal="center" vertical="center" wrapText="1"/>
      <protection/>
    </xf>
    <xf numFmtId="0" fontId="21" fillId="0" borderId="0" xfId="71">
      <alignment/>
      <protection/>
    </xf>
    <xf numFmtId="0" fontId="51" fillId="0" borderId="60" xfId="71" applyFont="1" applyBorder="1" applyAlignment="1">
      <alignment horizontal="right" vertical="center" indent="1"/>
      <protection/>
    </xf>
    <xf numFmtId="0" fontId="48" fillId="0" borderId="20" xfId="71" applyFont="1" applyBorder="1" applyAlignment="1" applyProtection="1">
      <alignment horizontal="left" vertical="center" indent="1"/>
      <protection locked="0"/>
    </xf>
    <xf numFmtId="0" fontId="21" fillId="0" borderId="20" xfId="63" applyFont="1" applyFill="1" applyBorder="1" applyAlignment="1">
      <alignment horizontal="left" vertical="center" wrapText="1"/>
      <protection/>
    </xf>
    <xf numFmtId="0" fontId="21" fillId="0" borderId="20" xfId="63" applyFont="1" applyFill="1" applyBorder="1" applyAlignment="1">
      <alignment vertical="center" wrapText="1"/>
      <protection/>
    </xf>
    <xf numFmtId="0" fontId="24" fillId="0" borderId="20" xfId="63" applyFont="1" applyFill="1" applyBorder="1" applyAlignment="1">
      <alignment horizontal="justify" vertical="center" wrapText="1"/>
      <protection/>
    </xf>
    <xf numFmtId="3" fontId="11" fillId="0" borderId="20" xfId="63" applyNumberFormat="1" applyFont="1" applyBorder="1">
      <alignment/>
      <protection/>
    </xf>
    <xf numFmtId="0" fontId="24" fillId="0" borderId="20" xfId="63" applyFont="1" applyFill="1" applyBorder="1" applyAlignment="1">
      <alignment horizontal="justify" vertical="center" wrapText="1"/>
      <protection/>
    </xf>
    <xf numFmtId="0" fontId="24" fillId="0" borderId="20" xfId="63" applyFont="1" applyFill="1" applyBorder="1" applyAlignment="1">
      <alignment vertical="center" wrapText="1"/>
      <protection/>
    </xf>
    <xf numFmtId="0" fontId="25" fillId="0" borderId="20" xfId="63" applyFont="1" applyFill="1" applyBorder="1" applyAlignment="1">
      <alignment vertical="center" wrapText="1"/>
      <protection/>
    </xf>
    <xf numFmtId="0" fontId="26" fillId="0" borderId="20" xfId="63" applyFont="1" applyFill="1" applyBorder="1" applyAlignment="1">
      <alignment vertical="center" wrapText="1"/>
      <protection/>
    </xf>
    <xf numFmtId="0" fontId="51" fillId="0" borderId="106" xfId="71" applyFont="1" applyBorder="1" applyAlignment="1">
      <alignment horizontal="right" vertical="center" indent="1"/>
      <protection/>
    </xf>
    <xf numFmtId="0" fontId="48" fillId="0" borderId="0" xfId="71" applyFont="1">
      <alignment/>
      <protection/>
    </xf>
    <xf numFmtId="0" fontId="57" fillId="38" borderId="24" xfId="71" applyFont="1" applyFill="1" applyBorder="1" applyAlignment="1">
      <alignment horizontal="left" vertical="center"/>
      <protection/>
    </xf>
    <xf numFmtId="0" fontId="45" fillId="38" borderId="11" xfId="71" applyFont="1" applyFill="1" applyBorder="1" applyAlignment="1">
      <alignment horizontal="left" vertical="center"/>
      <protection/>
    </xf>
    <xf numFmtId="199" fontId="47" fillId="38" borderId="11" xfId="71" applyNumberFormat="1" applyFont="1" applyFill="1" applyBorder="1" applyAlignment="1">
      <alignment horizontal="left" vertical="center" wrapText="1"/>
      <protection/>
    </xf>
    <xf numFmtId="3" fontId="4" fillId="33" borderId="29" xfId="63" applyNumberFormat="1" applyFont="1" applyFill="1" applyBorder="1" applyAlignment="1">
      <alignment vertical="center"/>
      <protection/>
    </xf>
    <xf numFmtId="0" fontId="51" fillId="0" borderId="107" xfId="71" applyFont="1" applyBorder="1" applyAlignment="1">
      <alignment horizontal="right" vertical="center" indent="1"/>
      <protection/>
    </xf>
    <xf numFmtId="0" fontId="45" fillId="0" borderId="0" xfId="71" applyFont="1">
      <alignment/>
      <protection/>
    </xf>
    <xf numFmtId="3" fontId="21" fillId="0" borderId="0" xfId="71" applyNumberFormat="1">
      <alignment/>
      <protection/>
    </xf>
    <xf numFmtId="3" fontId="38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3" fontId="33" fillId="0" borderId="0" xfId="0" applyNumberFormat="1" applyFont="1" applyAlignment="1">
      <alignment/>
    </xf>
    <xf numFmtId="1" fontId="33" fillId="0" borderId="0" xfId="0" applyNumberFormat="1" applyFont="1" applyAlignment="1">
      <alignment/>
    </xf>
    <xf numFmtId="3" fontId="38" fillId="0" borderId="0" xfId="0" applyNumberFormat="1" applyFont="1" applyAlignment="1">
      <alignment horizontal="center"/>
    </xf>
    <xf numFmtId="3" fontId="8" fillId="0" borderId="16" xfId="63" applyNumberFormat="1" applyFont="1" applyBorder="1">
      <alignment/>
      <protection/>
    </xf>
    <xf numFmtId="3" fontId="10" fillId="0" borderId="16" xfId="63" applyNumberFormat="1" applyFont="1" applyBorder="1">
      <alignment/>
      <protection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left" vertical="center"/>
    </xf>
    <xf numFmtId="0" fontId="61" fillId="0" borderId="0" xfId="63" applyFont="1" applyAlignment="1">
      <alignment horizontal="center"/>
      <protection/>
    </xf>
    <xf numFmtId="0" fontId="62" fillId="0" borderId="0" xfId="63" applyFont="1" applyAlignment="1">
      <alignment horizontal="center"/>
      <protection/>
    </xf>
    <xf numFmtId="0" fontId="20" fillId="0" borderId="105" xfId="63" applyFont="1" applyBorder="1">
      <alignment/>
      <protection/>
    </xf>
    <xf numFmtId="0" fontId="20" fillId="0" borderId="41" xfId="63" applyFont="1" applyBorder="1">
      <alignment/>
      <protection/>
    </xf>
    <xf numFmtId="0" fontId="20" fillId="0" borderId="70" xfId="63" applyFont="1" applyBorder="1">
      <alignment/>
      <protection/>
    </xf>
    <xf numFmtId="0" fontId="63" fillId="0" borderId="60" xfId="63" applyFont="1" applyBorder="1">
      <alignment/>
      <protection/>
    </xf>
    <xf numFmtId="0" fontId="20" fillId="0" borderId="20" xfId="63" applyFont="1" applyBorder="1">
      <alignment/>
      <protection/>
    </xf>
    <xf numFmtId="0" fontId="20" fillId="0" borderId="62" xfId="63" applyFont="1" applyBorder="1">
      <alignment/>
      <protection/>
    </xf>
    <xf numFmtId="0" fontId="20" fillId="0" borderId="60" xfId="63" applyFont="1" applyBorder="1">
      <alignment/>
      <protection/>
    </xf>
    <xf numFmtId="49" fontId="63" fillId="0" borderId="20" xfId="63" applyNumberFormat="1" applyFont="1" applyBorder="1" applyAlignment="1">
      <alignment horizontal="center"/>
      <protection/>
    </xf>
    <xf numFmtId="49" fontId="63" fillId="0" borderId="62" xfId="63" applyNumberFormat="1" applyFont="1" applyBorder="1" applyAlignment="1">
      <alignment horizontal="center"/>
      <protection/>
    </xf>
    <xf numFmtId="49" fontId="20" fillId="0" borderId="20" xfId="63" applyNumberFormat="1" applyFont="1" applyBorder="1">
      <alignment/>
      <protection/>
    </xf>
    <xf numFmtId="49" fontId="20" fillId="0" borderId="62" xfId="63" applyNumberFormat="1" applyFont="1" applyBorder="1">
      <alignment/>
      <protection/>
    </xf>
    <xf numFmtId="0" fontId="65" fillId="0" borderId="60" xfId="63" applyFont="1" applyBorder="1">
      <alignment/>
      <protection/>
    </xf>
    <xf numFmtId="49" fontId="20" fillId="0" borderId="20" xfId="63" applyNumberFormat="1" applyFont="1" applyBorder="1" applyAlignment="1">
      <alignment horizontal="center"/>
      <protection/>
    </xf>
    <xf numFmtId="49" fontId="20" fillId="0" borderId="62" xfId="63" applyNumberFormat="1" applyFont="1" applyBorder="1" applyAlignment="1">
      <alignment horizontal="center"/>
      <protection/>
    </xf>
    <xf numFmtId="49" fontId="20" fillId="0" borderId="10" xfId="63" applyNumberFormat="1" applyFont="1" applyBorder="1" applyAlignment="1">
      <alignment horizontal="center" wrapText="1"/>
      <protection/>
    </xf>
    <xf numFmtId="0" fontId="20" fillId="0" borderId="16" xfId="63" applyFont="1" applyBorder="1" applyAlignment="1">
      <alignment horizontal="center" wrapText="1"/>
      <protection/>
    </xf>
    <xf numFmtId="0" fontId="64" fillId="0" borderId="60" xfId="63" applyFont="1" applyBorder="1">
      <alignment/>
      <protection/>
    </xf>
    <xf numFmtId="49" fontId="65" fillId="0" borderId="60" xfId="63" applyNumberFormat="1" applyFont="1" applyBorder="1">
      <alignment/>
      <protection/>
    </xf>
    <xf numFmtId="49" fontId="65" fillId="0" borderId="60" xfId="63" applyNumberFormat="1" applyFont="1" applyBorder="1" applyAlignment="1">
      <alignment wrapText="1"/>
      <protection/>
    </xf>
    <xf numFmtId="191" fontId="20" fillId="0" borderId="62" xfId="63" applyNumberFormat="1" applyFont="1" applyBorder="1" applyAlignment="1">
      <alignment horizontal="center"/>
      <protection/>
    </xf>
    <xf numFmtId="3" fontId="20" fillId="0" borderId="62" xfId="63" applyNumberFormat="1" applyFont="1" applyBorder="1" applyAlignment="1">
      <alignment horizontal="center"/>
      <protection/>
    </xf>
    <xf numFmtId="49" fontId="64" fillId="0" borderId="60" xfId="63" applyNumberFormat="1" applyFont="1" applyBorder="1">
      <alignment/>
      <protection/>
    </xf>
    <xf numFmtId="49" fontId="66" fillId="0" borderId="0" xfId="63" applyNumberFormat="1" applyFont="1">
      <alignment/>
      <protection/>
    </xf>
    <xf numFmtId="49" fontId="0" fillId="0" borderId="0" xfId="63" applyNumberFormat="1" applyAlignment="1">
      <alignment horizontal="center"/>
      <protection/>
    </xf>
    <xf numFmtId="206" fontId="0" fillId="0" borderId="0" xfId="63" applyNumberFormat="1">
      <alignment/>
      <protection/>
    </xf>
    <xf numFmtId="3" fontId="52" fillId="39" borderId="54" xfId="70" applyNumberFormat="1" applyFont="1" applyFill="1" applyBorder="1" applyAlignment="1">
      <alignment horizontal="center" vertical="center" wrapText="1"/>
      <protection/>
    </xf>
    <xf numFmtId="0" fontId="67" fillId="0" borderId="0" xfId="70">
      <alignment/>
      <protection/>
    </xf>
    <xf numFmtId="3" fontId="27" fillId="39" borderId="58" xfId="70" applyNumberFormat="1" applyFont="1" applyFill="1" applyBorder="1" applyAlignment="1">
      <alignment horizontal="center" vertical="center" wrapText="1"/>
      <protection/>
    </xf>
    <xf numFmtId="180" fontId="27" fillId="39" borderId="59" xfId="70" applyNumberFormat="1" applyFont="1" applyFill="1" applyBorder="1" applyAlignment="1">
      <alignment horizontal="center" vertical="center" wrapText="1"/>
      <protection/>
    </xf>
    <xf numFmtId="3" fontId="25" fillId="39" borderId="56" xfId="70" applyNumberFormat="1" applyFont="1" applyFill="1" applyBorder="1" applyAlignment="1">
      <alignment horizontal="center" vertical="center" wrapText="1"/>
      <protection/>
    </xf>
    <xf numFmtId="0" fontId="39" fillId="0" borderId="108" xfId="70" applyFont="1" applyBorder="1" applyAlignment="1">
      <alignment horizontal="center" vertical="center" wrapText="1"/>
      <protection/>
    </xf>
    <xf numFmtId="0" fontId="21" fillId="0" borderId="109" xfId="70" applyFont="1" applyBorder="1" applyAlignment="1">
      <alignment horizontal="center" vertical="center" wrapText="1"/>
      <protection/>
    </xf>
    <xf numFmtId="0" fontId="47" fillId="0" borderId="110" xfId="70" applyFont="1" applyBorder="1" applyAlignment="1">
      <alignment horizontal="center" vertical="center"/>
      <protection/>
    </xf>
    <xf numFmtId="0" fontId="47" fillId="0" borderId="101" xfId="70" applyFont="1" applyBorder="1" applyAlignment="1">
      <alignment horizontal="center" vertical="center"/>
      <protection/>
    </xf>
    <xf numFmtId="0" fontId="47" fillId="0" borderId="67" xfId="70" applyFont="1" applyBorder="1" applyAlignment="1">
      <alignment vertical="center" wrapText="1"/>
      <protection/>
    </xf>
    <xf numFmtId="3" fontId="21" fillId="0" borderId="41" xfId="70" applyNumberFormat="1" applyFont="1" applyBorder="1" applyAlignment="1">
      <alignment/>
      <protection/>
    </xf>
    <xf numFmtId="3" fontId="21" fillId="0" borderId="111" xfId="70" applyNumberFormat="1" applyFont="1" applyBorder="1" applyAlignment="1">
      <alignment/>
      <protection/>
    </xf>
    <xf numFmtId="3" fontId="47" fillId="0" borderId="70" xfId="70" applyNumberFormat="1" applyFont="1" applyBorder="1">
      <alignment/>
      <protection/>
    </xf>
    <xf numFmtId="0" fontId="68" fillId="0" borderId="0" xfId="70" applyFont="1">
      <alignment/>
      <protection/>
    </xf>
    <xf numFmtId="0" fontId="47" fillId="0" borderId="57" xfId="70" applyFont="1" applyBorder="1" applyAlignment="1">
      <alignment horizontal="center" vertical="center"/>
      <protection/>
    </xf>
    <xf numFmtId="0" fontId="47" fillId="0" borderId="112" xfId="70" applyFont="1" applyBorder="1" applyAlignment="1">
      <alignment horizontal="center" vertical="center"/>
      <protection/>
    </xf>
    <xf numFmtId="0" fontId="47" fillId="0" borderId="49" xfId="70" applyFont="1" applyBorder="1" applyAlignment="1">
      <alignment horizontal="left" vertical="center" wrapText="1"/>
      <protection/>
    </xf>
    <xf numFmtId="3" fontId="47" fillId="0" borderId="20" xfId="70" applyNumberFormat="1" applyFont="1" applyBorder="1" applyAlignment="1">
      <alignment/>
      <protection/>
    </xf>
    <xf numFmtId="3" fontId="47" fillId="0" borderId="18" xfId="70" applyNumberFormat="1" applyFont="1" applyBorder="1" applyAlignment="1">
      <alignment/>
      <protection/>
    </xf>
    <xf numFmtId="181" fontId="47" fillId="0" borderId="17" xfId="70" applyNumberFormat="1" applyFont="1" applyBorder="1">
      <alignment/>
      <protection/>
    </xf>
    <xf numFmtId="3" fontId="47" fillId="0" borderId="62" xfId="70" applyNumberFormat="1" applyFont="1" applyBorder="1">
      <alignment/>
      <protection/>
    </xf>
    <xf numFmtId="0" fontId="21" fillId="0" borderId="57" xfId="70" applyFont="1" applyBorder="1" applyAlignment="1">
      <alignment horizontal="center" vertical="center"/>
      <protection/>
    </xf>
    <xf numFmtId="0" fontId="21" fillId="0" borderId="112" xfId="70" applyFont="1" applyBorder="1" applyAlignment="1">
      <alignment horizontal="center" vertical="center"/>
      <protection/>
    </xf>
    <xf numFmtId="0" fontId="21" fillId="0" borderId="49" xfId="70" applyFont="1" applyBorder="1" applyAlignment="1">
      <alignment horizontal="left" vertical="center" wrapText="1"/>
      <protection/>
    </xf>
    <xf numFmtId="3" fontId="27" fillId="0" borderId="20" xfId="70" applyNumberFormat="1" applyFont="1" applyBorder="1" applyAlignment="1">
      <alignment/>
      <protection/>
    </xf>
    <xf numFmtId="3" fontId="27" fillId="0" borderId="19" xfId="70" applyNumberFormat="1" applyFont="1" applyBorder="1" applyAlignment="1">
      <alignment/>
      <protection/>
    </xf>
    <xf numFmtId="181" fontId="27" fillId="0" borderId="20" xfId="70" applyNumberFormat="1" applyFont="1" applyBorder="1">
      <alignment/>
      <protection/>
    </xf>
    <xf numFmtId="3" fontId="21" fillId="0" borderId="62" xfId="70" applyNumberFormat="1" applyFont="1" applyBorder="1">
      <alignment/>
      <protection/>
    </xf>
    <xf numFmtId="0" fontId="27" fillId="0" borderId="0" xfId="70" applyFont="1" applyBorder="1" applyAlignment="1">
      <alignment horizontal="center" vertical="center"/>
      <protection/>
    </xf>
    <xf numFmtId="0" fontId="27" fillId="0" borderId="49" xfId="70" applyFont="1" applyBorder="1" applyAlignment="1">
      <alignment vertical="center" wrapText="1"/>
      <protection/>
    </xf>
    <xf numFmtId="3" fontId="27" fillId="0" borderId="62" xfId="70" applyNumberFormat="1" applyFont="1" applyBorder="1">
      <alignment/>
      <protection/>
    </xf>
    <xf numFmtId="0" fontId="27" fillId="0" borderId="25" xfId="70" applyFont="1" applyBorder="1" applyAlignment="1">
      <alignment horizontal="center" vertical="center"/>
      <protection/>
    </xf>
    <xf numFmtId="3" fontId="27" fillId="0" borderId="62" xfId="70" applyNumberFormat="1" applyFont="1" applyBorder="1">
      <alignment/>
      <protection/>
    </xf>
    <xf numFmtId="0" fontId="21" fillId="0" borderId="25" xfId="70" applyFont="1" applyBorder="1" applyAlignment="1">
      <alignment horizontal="center" vertical="center"/>
      <protection/>
    </xf>
    <xf numFmtId="0" fontId="21" fillId="0" borderId="49" xfId="70" applyFont="1" applyBorder="1" applyAlignment="1">
      <alignment vertical="center" wrapText="1"/>
      <protection/>
    </xf>
    <xf numFmtId="3" fontId="27" fillId="0" borderId="23" xfId="70" applyNumberFormat="1" applyFont="1" applyBorder="1" applyAlignment="1">
      <alignment/>
      <protection/>
    </xf>
    <xf numFmtId="181" fontId="27" fillId="0" borderId="10" xfId="70" applyNumberFormat="1" applyFont="1" applyBorder="1">
      <alignment/>
      <protection/>
    </xf>
    <xf numFmtId="3" fontId="21" fillId="0" borderId="62" xfId="70" applyNumberFormat="1" applyFont="1" applyBorder="1">
      <alignment/>
      <protection/>
    </xf>
    <xf numFmtId="0" fontId="47" fillId="0" borderId="18" xfId="70" applyFont="1" applyBorder="1" applyAlignment="1">
      <alignment horizontal="center" vertical="center"/>
      <protection/>
    </xf>
    <xf numFmtId="0" fontId="47" fillId="0" borderId="49" xfId="70" applyFont="1" applyBorder="1" applyAlignment="1">
      <alignment vertical="center" wrapText="1"/>
      <protection/>
    </xf>
    <xf numFmtId="3" fontId="48" fillId="0" borderId="20" xfId="70" applyNumberFormat="1" applyFont="1" applyBorder="1" applyAlignment="1">
      <alignment/>
      <protection/>
    </xf>
    <xf numFmtId="3" fontId="48" fillId="0" borderId="23" xfId="70" applyNumberFormat="1" applyFont="1" applyBorder="1" applyAlignment="1">
      <alignment/>
      <protection/>
    </xf>
    <xf numFmtId="181" fontId="48" fillId="0" borderId="10" xfId="70" applyNumberFormat="1" applyFont="1" applyBorder="1">
      <alignment/>
      <protection/>
    </xf>
    <xf numFmtId="3" fontId="47" fillId="0" borderId="62" xfId="70" applyNumberFormat="1" applyFont="1" applyBorder="1">
      <alignment/>
      <protection/>
    </xf>
    <xf numFmtId="0" fontId="47" fillId="0" borderId="43" xfId="70" applyFont="1" applyBorder="1" applyAlignment="1">
      <alignment vertical="center" wrapText="1"/>
      <protection/>
    </xf>
    <xf numFmtId="0" fontId="39" fillId="0" borderId="57" xfId="70" applyFont="1" applyBorder="1" applyAlignment="1">
      <alignment horizontal="center" vertical="center"/>
      <protection/>
    </xf>
    <xf numFmtId="3" fontId="48" fillId="0" borderId="19" xfId="70" applyNumberFormat="1" applyFont="1" applyBorder="1" applyAlignment="1">
      <alignment/>
      <protection/>
    </xf>
    <xf numFmtId="181" fontId="48" fillId="0" borderId="20" xfId="70" applyNumberFormat="1" applyFont="1" applyBorder="1">
      <alignment/>
      <protection/>
    </xf>
    <xf numFmtId="3" fontId="67" fillId="0" borderId="0" xfId="70" applyNumberFormat="1">
      <alignment/>
      <protection/>
    </xf>
    <xf numFmtId="0" fontId="21" fillId="0" borderId="18" xfId="70" applyFont="1" applyBorder="1" applyAlignment="1">
      <alignment horizontal="center" vertical="center"/>
      <protection/>
    </xf>
    <xf numFmtId="0" fontId="27" fillId="0" borderId="43" xfId="70" applyFont="1" applyBorder="1" applyAlignment="1">
      <alignment vertical="center" wrapText="1"/>
      <protection/>
    </xf>
    <xf numFmtId="181" fontId="27" fillId="0" borderId="20" xfId="70" applyNumberFormat="1" applyFont="1" applyBorder="1" applyAlignment="1">
      <alignment vertical="center"/>
      <protection/>
    </xf>
    <xf numFmtId="3" fontId="27" fillId="0" borderId="15" xfId="70" applyNumberFormat="1" applyFont="1" applyBorder="1" applyAlignment="1">
      <alignment/>
      <protection/>
    </xf>
    <xf numFmtId="181" fontId="27" fillId="0" borderId="16" xfId="70" applyNumberFormat="1" applyFont="1" applyBorder="1">
      <alignment/>
      <protection/>
    </xf>
    <xf numFmtId="3" fontId="26" fillId="0" borderId="62" xfId="70" applyNumberFormat="1" applyFont="1" applyBorder="1">
      <alignment/>
      <protection/>
    </xf>
    <xf numFmtId="3" fontId="27" fillId="0" borderId="21" xfId="70" applyNumberFormat="1" applyFont="1" applyBorder="1" applyAlignment="1">
      <alignment/>
      <protection/>
    </xf>
    <xf numFmtId="181" fontId="27" fillId="0" borderId="21" xfId="70" applyNumberFormat="1" applyFont="1" applyBorder="1">
      <alignment/>
      <protection/>
    </xf>
    <xf numFmtId="3" fontId="26" fillId="0" borderId="113" xfId="70" applyNumberFormat="1" applyFont="1" applyBorder="1">
      <alignment/>
      <protection/>
    </xf>
    <xf numFmtId="0" fontId="27" fillId="0" borderId="18" xfId="70" applyFont="1" applyBorder="1" applyAlignment="1">
      <alignment horizontal="center" vertical="center"/>
      <protection/>
    </xf>
    <xf numFmtId="3" fontId="69" fillId="0" borderId="113" xfId="70" applyNumberFormat="1" applyFont="1" applyBorder="1">
      <alignment/>
      <protection/>
    </xf>
    <xf numFmtId="0" fontId="21" fillId="0" borderId="43" xfId="70" applyFont="1" applyBorder="1" applyAlignment="1">
      <alignment vertical="center" wrapText="1"/>
      <protection/>
    </xf>
    <xf numFmtId="3" fontId="21" fillId="0" borderId="20" xfId="70" applyNumberFormat="1" applyFont="1" applyBorder="1" applyAlignment="1">
      <alignment/>
      <protection/>
    </xf>
    <xf numFmtId="3" fontId="21" fillId="0" borderId="19" xfId="70" applyNumberFormat="1" applyFont="1" applyBorder="1" applyAlignment="1">
      <alignment/>
      <protection/>
    </xf>
    <xf numFmtId="181" fontId="21" fillId="0" borderId="20" xfId="70" applyNumberFormat="1" applyFont="1" applyBorder="1">
      <alignment/>
      <protection/>
    </xf>
    <xf numFmtId="0" fontId="67" fillId="0" borderId="0" xfId="70" applyAlignment="1">
      <alignment vertical="center"/>
      <protection/>
    </xf>
    <xf numFmtId="0" fontId="47" fillId="0" borderId="57" xfId="70" applyFont="1" applyBorder="1" applyAlignment="1">
      <alignment horizontal="center" vertical="center"/>
      <protection/>
    </xf>
    <xf numFmtId="0" fontId="47" fillId="0" borderId="18" xfId="70" applyFont="1" applyBorder="1" applyAlignment="1">
      <alignment horizontal="center" vertical="center"/>
      <protection/>
    </xf>
    <xf numFmtId="0" fontId="47" fillId="0" borderId="43" xfId="70" applyFont="1" applyBorder="1" applyAlignment="1">
      <alignment vertical="center" wrapText="1"/>
      <protection/>
    </xf>
    <xf numFmtId="0" fontId="70" fillId="0" borderId="0" xfId="70" applyFont="1">
      <alignment/>
      <protection/>
    </xf>
    <xf numFmtId="0" fontId="67" fillId="0" borderId="57" xfId="70" applyBorder="1" applyAlignment="1">
      <alignment horizontal="center"/>
      <protection/>
    </xf>
    <xf numFmtId="49" fontId="47" fillId="0" borderId="18" xfId="70" applyNumberFormat="1" applyFont="1" applyBorder="1" applyAlignment="1">
      <alignment horizontal="center" vertical="center"/>
      <protection/>
    </xf>
    <xf numFmtId="3" fontId="47" fillId="0" borderId="19" xfId="70" applyNumberFormat="1" applyFont="1" applyBorder="1" applyAlignment="1">
      <alignment/>
      <protection/>
    </xf>
    <xf numFmtId="181" fontId="47" fillId="0" borderId="20" xfId="70" applyNumberFormat="1" applyFont="1" applyBorder="1">
      <alignment/>
      <protection/>
    </xf>
    <xf numFmtId="0" fontId="44" fillId="0" borderId="57" xfId="70" applyFont="1" applyBorder="1" applyAlignment="1">
      <alignment horizontal="center" vertical="center"/>
      <protection/>
    </xf>
    <xf numFmtId="49" fontId="21" fillId="0" borderId="18" xfId="70" applyNumberFormat="1" applyFont="1" applyBorder="1" applyAlignment="1">
      <alignment horizontal="center" vertical="center"/>
      <protection/>
    </xf>
    <xf numFmtId="3" fontId="44" fillId="0" borderId="20" xfId="70" applyNumberFormat="1" applyFont="1" applyBorder="1" applyAlignment="1">
      <alignment/>
      <protection/>
    </xf>
    <xf numFmtId="0" fontId="71" fillId="0" borderId="0" xfId="70" applyFont="1">
      <alignment/>
      <protection/>
    </xf>
    <xf numFmtId="49" fontId="21" fillId="0" borderId="18" xfId="70" applyNumberFormat="1" applyFont="1" applyBorder="1" applyAlignment="1">
      <alignment horizontal="center" vertical="center"/>
      <protection/>
    </xf>
    <xf numFmtId="0" fontId="15" fillId="0" borderId="0" xfId="70" applyFont="1" applyBorder="1" applyAlignment="1">
      <alignment horizontal="center"/>
      <protection/>
    </xf>
    <xf numFmtId="0" fontId="21" fillId="0" borderId="43" xfId="70" applyFont="1" applyBorder="1" applyAlignment="1">
      <alignment horizontal="left" vertical="center" wrapText="1"/>
      <protection/>
    </xf>
    <xf numFmtId="0" fontId="21" fillId="0" borderId="43" xfId="70" applyFont="1" applyBorder="1" applyAlignment="1">
      <alignment horizontal="left" vertical="center" wrapText="1" indent="2"/>
      <protection/>
    </xf>
    <xf numFmtId="0" fontId="21" fillId="0" borderId="14" xfId="70" applyFont="1" applyBorder="1" applyAlignment="1">
      <alignment horizontal="center" vertical="center"/>
      <protection/>
    </xf>
    <xf numFmtId="0" fontId="40" fillId="0" borderId="57" xfId="70" applyFont="1" applyBorder="1" applyAlignment="1">
      <alignment horizontal="center" vertical="center"/>
      <protection/>
    </xf>
    <xf numFmtId="49" fontId="40" fillId="0" borderId="18" xfId="70" applyNumberFormat="1" applyFont="1" applyBorder="1" applyAlignment="1">
      <alignment horizontal="center" vertical="center"/>
      <protection/>
    </xf>
    <xf numFmtId="3" fontId="40" fillId="0" borderId="20" xfId="70" applyNumberFormat="1" applyFont="1" applyBorder="1" applyAlignment="1">
      <alignment/>
      <protection/>
    </xf>
    <xf numFmtId="0" fontId="72" fillId="0" borderId="0" xfId="70" applyFont="1">
      <alignment/>
      <protection/>
    </xf>
    <xf numFmtId="0" fontId="27" fillId="0" borderId="43" xfId="70" applyFont="1" applyBorder="1" applyAlignment="1">
      <alignment horizontal="left" vertical="center" wrapText="1" indent="2"/>
      <protection/>
    </xf>
    <xf numFmtId="181" fontId="27" fillId="0" borderId="19" xfId="70" applyNumberFormat="1" applyFont="1" applyBorder="1">
      <alignment/>
      <protection/>
    </xf>
    <xf numFmtId="3" fontId="24" fillId="0" borderId="62" xfId="70" applyNumberFormat="1" applyFont="1" applyBorder="1">
      <alignment/>
      <protection/>
    </xf>
    <xf numFmtId="3" fontId="25" fillId="0" borderId="62" xfId="70" applyNumberFormat="1" applyFont="1" applyBorder="1">
      <alignment/>
      <protection/>
    </xf>
    <xf numFmtId="0" fontId="69" fillId="0" borderId="43" xfId="70" applyFont="1" applyBorder="1" applyAlignment="1">
      <alignment horizontal="left" vertical="center" wrapText="1" indent="2"/>
      <protection/>
    </xf>
    <xf numFmtId="3" fontId="69" fillId="0" borderId="20" xfId="70" applyNumberFormat="1" applyFont="1" applyBorder="1" applyAlignment="1">
      <alignment/>
      <protection/>
    </xf>
    <xf numFmtId="3" fontId="69" fillId="0" borderId="19" xfId="70" applyNumberFormat="1" applyFont="1" applyBorder="1" applyAlignment="1">
      <alignment/>
      <protection/>
    </xf>
    <xf numFmtId="181" fontId="69" fillId="0" borderId="20" xfId="70" applyNumberFormat="1" applyFont="1" applyBorder="1" applyAlignment="1">
      <alignment horizontal="right"/>
      <protection/>
    </xf>
    <xf numFmtId="3" fontId="69" fillId="0" borderId="62" xfId="70" applyNumberFormat="1" applyFont="1" applyBorder="1">
      <alignment/>
      <protection/>
    </xf>
    <xf numFmtId="181" fontId="69" fillId="0" borderId="19" xfId="70" applyNumberFormat="1" applyFont="1" applyBorder="1" applyAlignment="1">
      <alignment/>
      <protection/>
    </xf>
    <xf numFmtId="181" fontId="67" fillId="0" borderId="0" xfId="70" applyNumberFormat="1">
      <alignment/>
      <protection/>
    </xf>
    <xf numFmtId="0" fontId="21" fillId="0" borderId="49" xfId="70" applyFont="1" applyBorder="1" applyAlignment="1">
      <alignment horizontal="left" vertical="center" wrapText="1"/>
      <protection/>
    </xf>
    <xf numFmtId="3" fontId="21" fillId="0" borderId="20" xfId="70" applyNumberFormat="1" applyFont="1" applyBorder="1" applyAlignment="1">
      <alignment/>
      <protection/>
    </xf>
    <xf numFmtId="3" fontId="21" fillId="0" borderId="19" xfId="70" applyNumberFormat="1" applyFont="1" applyBorder="1" applyAlignment="1">
      <alignment/>
      <protection/>
    </xf>
    <xf numFmtId="181" fontId="21" fillId="0" borderId="20" xfId="70" applyNumberFormat="1" applyFont="1" applyBorder="1">
      <alignment/>
      <protection/>
    </xf>
    <xf numFmtId="3" fontId="21" fillId="0" borderId="10" xfId="70" applyNumberFormat="1" applyFont="1" applyBorder="1" applyAlignment="1">
      <alignment/>
      <protection/>
    </xf>
    <xf numFmtId="3" fontId="21" fillId="0" borderId="23" xfId="70" applyNumberFormat="1" applyFont="1" applyBorder="1" applyAlignment="1">
      <alignment/>
      <protection/>
    </xf>
    <xf numFmtId="181" fontId="21" fillId="0" borderId="23" xfId="70" applyNumberFormat="1" applyFont="1" applyBorder="1">
      <alignment/>
      <protection/>
    </xf>
    <xf numFmtId="49" fontId="21" fillId="0" borderId="0" xfId="70" applyNumberFormat="1" applyFont="1" applyBorder="1" applyAlignment="1">
      <alignment horizontal="center" vertical="center"/>
      <protection/>
    </xf>
    <xf numFmtId="3" fontId="21" fillId="0" borderId="10" xfId="70" applyNumberFormat="1" applyFont="1" applyBorder="1" applyAlignment="1">
      <alignment/>
      <protection/>
    </xf>
    <xf numFmtId="3" fontId="21" fillId="0" borderId="23" xfId="70" applyNumberFormat="1" applyFont="1" applyBorder="1" applyAlignment="1">
      <alignment/>
      <protection/>
    </xf>
    <xf numFmtId="181" fontId="21" fillId="0" borderId="23" xfId="70" applyNumberFormat="1" applyFont="1" applyBorder="1">
      <alignment/>
      <protection/>
    </xf>
    <xf numFmtId="49" fontId="21" fillId="0" borderId="61" xfId="70" applyNumberFormat="1" applyFont="1" applyBorder="1" applyAlignment="1">
      <alignment horizontal="center" vertical="center"/>
      <protection/>
    </xf>
    <xf numFmtId="3" fontId="21" fillId="0" borderId="21" xfId="70" applyNumberFormat="1" applyFont="1" applyBorder="1" applyAlignment="1">
      <alignment/>
      <protection/>
    </xf>
    <xf numFmtId="0" fontId="69" fillId="0" borderId="49" xfId="70" applyFont="1" applyBorder="1" applyAlignment="1">
      <alignment horizontal="left" vertical="center" wrapText="1"/>
      <protection/>
    </xf>
    <xf numFmtId="3" fontId="27" fillId="0" borderId="10" xfId="70" applyNumberFormat="1" applyFont="1" applyBorder="1" applyAlignment="1">
      <alignment/>
      <protection/>
    </xf>
    <xf numFmtId="3" fontId="27" fillId="0" borderId="23" xfId="70" applyNumberFormat="1" applyFont="1" applyBorder="1" applyAlignment="1">
      <alignment/>
      <protection/>
    </xf>
    <xf numFmtId="181" fontId="27" fillId="0" borderId="23" xfId="70" applyNumberFormat="1" applyFont="1" applyBorder="1">
      <alignment/>
      <protection/>
    </xf>
    <xf numFmtId="3" fontId="24" fillId="0" borderId="65" xfId="70" applyNumberFormat="1" applyFont="1" applyBorder="1">
      <alignment/>
      <protection/>
    </xf>
    <xf numFmtId="49" fontId="40" fillId="0" borderId="0" xfId="70" applyNumberFormat="1" applyFont="1" applyBorder="1" applyAlignment="1">
      <alignment horizontal="center" vertical="center"/>
      <protection/>
    </xf>
    <xf numFmtId="3" fontId="69" fillId="0" borderId="10" xfId="70" applyNumberFormat="1" applyFont="1" applyBorder="1" applyAlignment="1">
      <alignment/>
      <protection/>
    </xf>
    <xf numFmtId="3" fontId="69" fillId="0" borderId="23" xfId="70" applyNumberFormat="1" applyFont="1" applyBorder="1" applyAlignment="1">
      <alignment/>
      <protection/>
    </xf>
    <xf numFmtId="181" fontId="69" fillId="0" borderId="23" xfId="70" applyNumberFormat="1" applyFont="1" applyBorder="1">
      <alignment/>
      <protection/>
    </xf>
    <xf numFmtId="3" fontId="26" fillId="0" borderId="65" xfId="70" applyNumberFormat="1" applyFont="1" applyBorder="1">
      <alignment/>
      <protection/>
    </xf>
    <xf numFmtId="0" fontId="70" fillId="0" borderId="114" xfId="70" applyFont="1" applyBorder="1" applyAlignment="1">
      <alignment horizontal="center"/>
      <protection/>
    </xf>
    <xf numFmtId="49" fontId="21" fillId="0" borderId="61" xfId="70" applyNumberFormat="1" applyFont="1" applyBorder="1" applyAlignment="1">
      <alignment horizontal="center" vertical="center"/>
      <protection/>
    </xf>
    <xf numFmtId="3" fontId="48" fillId="0" borderId="20" xfId="70" applyNumberFormat="1" applyFont="1" applyBorder="1" applyAlignment="1">
      <alignment/>
      <protection/>
    </xf>
    <xf numFmtId="3" fontId="48" fillId="0" borderId="19" xfId="70" applyNumberFormat="1" applyFont="1" applyBorder="1" applyAlignment="1">
      <alignment/>
      <protection/>
    </xf>
    <xf numFmtId="0" fontId="69" fillId="0" borderId="49" xfId="70" applyFont="1" applyBorder="1" applyAlignment="1">
      <alignment horizontal="left" vertical="center" wrapText="1" indent="2"/>
      <protection/>
    </xf>
    <xf numFmtId="49" fontId="21" fillId="0" borderId="64" xfId="70" applyNumberFormat="1" applyFont="1" applyBorder="1" applyAlignment="1">
      <alignment horizontal="center" vertical="center"/>
      <protection/>
    </xf>
    <xf numFmtId="0" fontId="21" fillId="0" borderId="66" xfId="70" applyFont="1" applyBorder="1" applyAlignment="1">
      <alignment horizontal="center" vertical="center"/>
      <protection/>
    </xf>
    <xf numFmtId="49" fontId="27" fillId="0" borderId="61" xfId="70" applyNumberFormat="1" applyFont="1" applyBorder="1" applyAlignment="1">
      <alignment horizontal="center" vertical="center"/>
      <protection/>
    </xf>
    <xf numFmtId="0" fontId="27" fillId="0" borderId="43" xfId="70" applyFont="1" applyBorder="1" applyAlignment="1">
      <alignment horizontal="left" vertical="center" wrapText="1"/>
      <protection/>
    </xf>
    <xf numFmtId="3" fontId="27" fillId="0" borderId="20" xfId="70" applyNumberFormat="1" applyFont="1" applyBorder="1" applyAlignment="1">
      <alignment/>
      <protection/>
    </xf>
    <xf numFmtId="3" fontId="27" fillId="0" borderId="21" xfId="70" applyNumberFormat="1" applyFont="1" applyBorder="1" applyAlignment="1">
      <alignment/>
      <protection/>
    </xf>
    <xf numFmtId="181" fontId="27" fillId="0" borderId="115" xfId="70" applyNumberFormat="1" applyFont="1" applyBorder="1">
      <alignment/>
      <protection/>
    </xf>
    <xf numFmtId="3" fontId="24" fillId="0" borderId="113" xfId="70" applyNumberFormat="1" applyFont="1" applyBorder="1">
      <alignment/>
      <protection/>
    </xf>
    <xf numFmtId="49" fontId="21" fillId="0" borderId="66" xfId="70" applyNumberFormat="1" applyFont="1" applyBorder="1" applyAlignment="1">
      <alignment horizontal="center" vertical="center"/>
      <protection/>
    </xf>
    <xf numFmtId="0" fontId="27" fillId="0" borderId="114" xfId="70" applyFont="1" applyBorder="1" applyAlignment="1">
      <alignment horizontal="left" vertical="center" wrapText="1" indent="2"/>
      <protection/>
    </xf>
    <xf numFmtId="3" fontId="27" fillId="0" borderId="26" xfId="70" applyNumberFormat="1" applyFont="1" applyBorder="1" applyAlignment="1">
      <alignment/>
      <protection/>
    </xf>
    <xf numFmtId="3" fontId="27" fillId="0" borderId="116" xfId="70" applyNumberFormat="1" applyFont="1" applyBorder="1" applyAlignment="1">
      <alignment/>
      <protection/>
    </xf>
    <xf numFmtId="181" fontId="27" fillId="0" borderId="116" xfId="70" applyNumberFormat="1" applyFont="1" applyBorder="1">
      <alignment/>
      <protection/>
    </xf>
    <xf numFmtId="3" fontId="24" fillId="0" borderId="100" xfId="70" applyNumberFormat="1" applyFont="1" applyBorder="1">
      <alignment/>
      <protection/>
    </xf>
    <xf numFmtId="0" fontId="55" fillId="0" borderId="49" xfId="70" applyFont="1" applyBorder="1" applyAlignment="1">
      <alignment horizontal="left" vertical="center" wrapText="1"/>
      <protection/>
    </xf>
    <xf numFmtId="3" fontId="40" fillId="0" borderId="65" xfId="70" applyNumberFormat="1" applyFont="1" applyBorder="1">
      <alignment/>
      <protection/>
    </xf>
    <xf numFmtId="0" fontId="27" fillId="0" borderId="49" xfId="70" applyFont="1" applyBorder="1" applyAlignment="1">
      <alignment horizontal="left" vertical="center" wrapText="1" indent="2"/>
      <protection/>
    </xf>
    <xf numFmtId="0" fontId="67" fillId="0" borderId="0" xfId="70" applyFont="1">
      <alignment/>
      <protection/>
    </xf>
    <xf numFmtId="3" fontId="27" fillId="0" borderId="47" xfId="70" applyNumberFormat="1" applyFont="1" applyBorder="1" applyAlignment="1">
      <alignment/>
      <protection/>
    </xf>
    <xf numFmtId="3" fontId="27" fillId="0" borderId="117" xfId="70" applyNumberFormat="1" applyFont="1" applyBorder="1" applyAlignment="1">
      <alignment/>
      <protection/>
    </xf>
    <xf numFmtId="181" fontId="27" fillId="0" borderId="118" xfId="70" applyNumberFormat="1" applyFont="1" applyBorder="1">
      <alignment/>
      <protection/>
    </xf>
    <xf numFmtId="3" fontId="24" fillId="0" borderId="119" xfId="70" applyNumberFormat="1" applyFont="1" applyBorder="1">
      <alignment/>
      <protection/>
    </xf>
    <xf numFmtId="0" fontId="70" fillId="0" borderId="120" xfId="70" applyFont="1" applyBorder="1" applyAlignment="1">
      <alignment horizontal="center"/>
      <protection/>
    </xf>
    <xf numFmtId="0" fontId="47" fillId="0" borderId="53" xfId="70" applyFont="1" applyBorder="1" applyAlignment="1">
      <alignment horizontal="center" vertical="center"/>
      <protection/>
    </xf>
    <xf numFmtId="3" fontId="48" fillId="0" borderId="121" xfId="70" applyNumberFormat="1" applyFont="1" applyBorder="1" applyAlignment="1">
      <alignment/>
      <protection/>
    </xf>
    <xf numFmtId="181" fontId="48" fillId="0" borderId="121" xfId="70" applyNumberFormat="1" applyFont="1" applyBorder="1">
      <alignment/>
      <protection/>
    </xf>
    <xf numFmtId="3" fontId="47" fillId="0" borderId="56" xfId="70" applyNumberFormat="1" applyFont="1" applyBorder="1">
      <alignment/>
      <protection/>
    </xf>
    <xf numFmtId="0" fontId="21" fillId="0" borderId="114" xfId="70" applyFont="1" applyBorder="1" applyAlignment="1">
      <alignment horizontal="center" vertical="center"/>
      <protection/>
    </xf>
    <xf numFmtId="0" fontId="27" fillId="0" borderId="0" xfId="70" applyFont="1" applyBorder="1" applyAlignment="1">
      <alignment horizontal="left" vertical="center" wrapText="1" indent="2"/>
      <protection/>
    </xf>
    <xf numFmtId="3" fontId="27" fillId="0" borderId="122" xfId="70" applyNumberFormat="1" applyFont="1" applyBorder="1" applyAlignment="1">
      <alignment/>
      <protection/>
    </xf>
    <xf numFmtId="181" fontId="27" fillId="0" borderId="123" xfId="70" applyNumberFormat="1" applyFont="1" applyBorder="1">
      <alignment/>
      <protection/>
    </xf>
    <xf numFmtId="3" fontId="73" fillId="0" borderId="62" xfId="70" applyNumberFormat="1" applyFont="1" applyBorder="1">
      <alignment/>
      <protection/>
    </xf>
    <xf numFmtId="0" fontId="21" fillId="0" borderId="64" xfId="70" applyFont="1" applyBorder="1" applyAlignment="1">
      <alignment horizontal="center" vertical="center"/>
      <protection/>
    </xf>
    <xf numFmtId="0" fontId="27" fillId="0" borderId="25" xfId="70" applyFont="1" applyBorder="1" applyAlignment="1">
      <alignment horizontal="left" vertical="center" wrapText="1" indent="2"/>
      <protection/>
    </xf>
    <xf numFmtId="3" fontId="27" fillId="0" borderId="124" xfId="70" applyNumberFormat="1" applyFont="1" applyBorder="1" applyAlignment="1">
      <alignment/>
      <protection/>
    </xf>
    <xf numFmtId="181" fontId="27" fillId="0" borderId="125" xfId="70" applyNumberFormat="1" applyFont="1" applyBorder="1">
      <alignment/>
      <protection/>
    </xf>
    <xf numFmtId="3" fontId="25" fillId="0" borderId="62" xfId="70" applyNumberFormat="1" applyFont="1" applyBorder="1">
      <alignment/>
      <protection/>
    </xf>
    <xf numFmtId="0" fontId="21" fillId="0" borderId="18" xfId="70" applyFont="1" applyBorder="1">
      <alignment/>
      <protection/>
    </xf>
    <xf numFmtId="0" fontId="21" fillId="0" borderId="61" xfId="70" applyFont="1" applyBorder="1" applyAlignment="1">
      <alignment horizontal="center" vertical="center"/>
      <protection/>
    </xf>
    <xf numFmtId="3" fontId="21" fillId="0" borderId="115" xfId="70" applyNumberFormat="1" applyFont="1" applyBorder="1" applyAlignment="1">
      <alignment/>
      <protection/>
    </xf>
    <xf numFmtId="0" fontId="21" fillId="0" borderId="21" xfId="70" applyFont="1" applyBorder="1">
      <alignment/>
      <protection/>
    </xf>
    <xf numFmtId="0" fontId="21" fillId="0" borderId="25" xfId="70" applyFont="1" applyBorder="1">
      <alignment/>
      <protection/>
    </xf>
    <xf numFmtId="0" fontId="47" fillId="0" borderId="109" xfId="70" applyFont="1" applyBorder="1" applyAlignment="1">
      <alignment vertical="center"/>
      <protection/>
    </xf>
    <xf numFmtId="3" fontId="21" fillId="0" borderId="124" xfId="70" applyNumberFormat="1" applyFont="1" applyBorder="1" applyAlignment="1">
      <alignment/>
      <protection/>
    </xf>
    <xf numFmtId="0" fontId="21" fillId="0" borderId="125" xfId="70" applyFont="1" applyBorder="1">
      <alignment/>
      <protection/>
    </xf>
    <xf numFmtId="3" fontId="25" fillId="0" borderId="65" xfId="70" applyNumberFormat="1" applyFont="1" applyBorder="1">
      <alignment/>
      <protection/>
    </xf>
    <xf numFmtId="0" fontId="48" fillId="0" borderId="53" xfId="70" applyFont="1" applyBorder="1" applyAlignment="1">
      <alignment horizontal="center" vertical="center"/>
      <protection/>
    </xf>
    <xf numFmtId="0" fontId="70" fillId="0" borderId="121" xfId="70" applyFont="1" applyBorder="1" applyAlignment="1">
      <alignment horizontal="center"/>
      <protection/>
    </xf>
    <xf numFmtId="0" fontId="47" fillId="0" borderId="108" xfId="70" applyFont="1" applyBorder="1" applyAlignment="1">
      <alignment vertical="center" wrapText="1"/>
      <protection/>
    </xf>
    <xf numFmtId="0" fontId="48" fillId="0" borderId="121" xfId="70" applyFont="1" applyBorder="1">
      <alignment/>
      <protection/>
    </xf>
    <xf numFmtId="3" fontId="70" fillId="0" borderId="126" xfId="70" applyNumberFormat="1" applyFont="1" applyBorder="1">
      <alignment/>
      <protection/>
    </xf>
    <xf numFmtId="0" fontId="47" fillId="0" borderId="54" xfId="70" applyFont="1" applyBorder="1" applyAlignment="1">
      <alignment horizontal="center" vertical="center"/>
      <protection/>
    </xf>
    <xf numFmtId="0" fontId="67" fillId="0" borderId="0" xfId="70" applyFont="1" applyBorder="1" applyAlignment="1">
      <alignment horizontal="center" wrapText="1"/>
      <protection/>
    </xf>
    <xf numFmtId="3" fontId="48" fillId="0" borderId="41" xfId="70" applyNumberFormat="1" applyFont="1" applyBorder="1" applyAlignment="1">
      <alignment/>
      <protection/>
    </xf>
    <xf numFmtId="3" fontId="48" fillId="0" borderId="16" xfId="70" applyNumberFormat="1" applyFont="1" applyBorder="1" applyAlignment="1">
      <alignment/>
      <protection/>
    </xf>
    <xf numFmtId="181" fontId="48" fillId="0" borderId="16" xfId="70" applyNumberFormat="1" applyFont="1" applyBorder="1">
      <alignment/>
      <protection/>
    </xf>
    <xf numFmtId="3" fontId="47" fillId="0" borderId="92" xfId="70" applyNumberFormat="1" applyFont="1" applyBorder="1">
      <alignment/>
      <protection/>
    </xf>
    <xf numFmtId="0" fontId="27" fillId="0" borderId="17" xfId="70" applyFont="1" applyBorder="1" applyAlignment="1">
      <alignment horizontal="left" vertical="center" wrapText="1" indent="2"/>
      <protection/>
    </xf>
    <xf numFmtId="181" fontId="27" fillId="0" borderId="20" xfId="70" applyNumberFormat="1" applyFont="1" applyBorder="1">
      <alignment/>
      <protection/>
    </xf>
    <xf numFmtId="49" fontId="21" fillId="0" borderId="43" xfId="70" applyNumberFormat="1" applyFont="1" applyBorder="1" applyAlignment="1">
      <alignment horizontal="center" vertical="center"/>
      <protection/>
    </xf>
    <xf numFmtId="181" fontId="27" fillId="0" borderId="10" xfId="70" applyNumberFormat="1" applyFont="1" applyBorder="1">
      <alignment/>
      <protection/>
    </xf>
    <xf numFmtId="181" fontId="47" fillId="0" borderId="121" xfId="70" applyNumberFormat="1" applyFont="1" applyBorder="1" applyAlignment="1">
      <alignment/>
      <protection/>
    </xf>
    <xf numFmtId="0" fontId="75" fillId="0" borderId="0" xfId="70" applyFont="1">
      <alignment/>
      <protection/>
    </xf>
    <xf numFmtId="181" fontId="75" fillId="0" borderId="0" xfId="70" applyNumberFormat="1" applyFont="1">
      <alignment/>
      <protection/>
    </xf>
    <xf numFmtId="0" fontId="39" fillId="0" borderId="0" xfId="70" applyFont="1" applyBorder="1" applyAlignment="1">
      <alignment horizontal="center"/>
      <protection/>
    </xf>
    <xf numFmtId="0" fontId="47" fillId="0" borderId="121" xfId="70" applyFont="1" applyBorder="1" applyAlignment="1">
      <alignment horizontal="center" vertical="center" wrapText="1"/>
      <protection/>
    </xf>
    <xf numFmtId="3" fontId="27" fillId="0" borderId="0" xfId="70" applyNumberFormat="1" applyFont="1" applyBorder="1" applyAlignment="1">
      <alignment/>
      <protection/>
    </xf>
    <xf numFmtId="181" fontId="27" fillId="0" borderId="0" xfId="70" applyNumberFormat="1" applyFont="1" applyBorder="1" applyAlignment="1">
      <alignment horizontal="center"/>
      <protection/>
    </xf>
    <xf numFmtId="3" fontId="25" fillId="0" borderId="0" xfId="70" applyNumberFormat="1" applyFont="1" applyBorder="1">
      <alignment/>
      <protection/>
    </xf>
    <xf numFmtId="0" fontId="67" fillId="0" borderId="114" xfId="70" applyFont="1" applyBorder="1" applyAlignment="1">
      <alignment horizontal="center"/>
      <protection/>
    </xf>
    <xf numFmtId="0" fontId="21" fillId="0" borderId="68" xfId="70" applyFont="1" applyBorder="1" applyAlignment="1">
      <alignment horizontal="center" vertical="center"/>
      <protection/>
    </xf>
    <xf numFmtId="0" fontId="21" fillId="0" borderId="18" xfId="70" applyFont="1" applyBorder="1" applyAlignment="1">
      <alignment horizontal="left" vertical="center" wrapText="1"/>
      <protection/>
    </xf>
    <xf numFmtId="0" fontId="21" fillId="0" borderId="127" xfId="70" applyFont="1" applyBorder="1" applyAlignment="1">
      <alignment horizontal="right" vertical="center" wrapText="1"/>
      <protection/>
    </xf>
    <xf numFmtId="0" fontId="21" fillId="0" borderId="20" xfId="70" applyFont="1" applyBorder="1" applyAlignment="1">
      <alignment horizontal="right" vertical="center" wrapText="1"/>
      <protection/>
    </xf>
    <xf numFmtId="3" fontId="21" fillId="0" borderId="20" xfId="70" applyNumberFormat="1" applyFont="1" applyBorder="1">
      <alignment/>
      <protection/>
    </xf>
    <xf numFmtId="0" fontId="21" fillId="0" borderId="108" xfId="70" applyFont="1" applyBorder="1" applyAlignment="1">
      <alignment horizontal="center" vertical="center"/>
      <protection/>
    </xf>
    <xf numFmtId="181" fontId="21" fillId="0" borderId="21" xfId="70" applyNumberFormat="1" applyFont="1" applyBorder="1">
      <alignment/>
      <protection/>
    </xf>
    <xf numFmtId="0" fontId="21" fillId="0" borderId="18" xfId="70" applyFont="1" applyBorder="1" applyAlignment="1">
      <alignment vertical="center" wrapText="1"/>
      <protection/>
    </xf>
    <xf numFmtId="0" fontId="21" fillId="0" borderId="0" xfId="70" applyFont="1">
      <alignment/>
      <protection/>
    </xf>
    <xf numFmtId="0" fontId="21" fillId="0" borderId="64" xfId="70" applyFont="1" applyBorder="1" applyAlignment="1">
      <alignment horizontal="center"/>
      <protection/>
    </xf>
    <xf numFmtId="0" fontId="21" fillId="0" borderId="49" xfId="70" applyFont="1" applyBorder="1" applyAlignment="1">
      <alignment horizontal="center" vertical="center"/>
      <protection/>
    </xf>
    <xf numFmtId="3" fontId="48" fillId="0" borderId="47" xfId="70" applyNumberFormat="1" applyFont="1" applyBorder="1" applyAlignment="1">
      <alignment vertical="center"/>
      <protection/>
    </xf>
    <xf numFmtId="181" fontId="48" fillId="0" borderId="47" xfId="70" applyNumberFormat="1" applyFont="1" applyBorder="1" applyAlignment="1">
      <alignment vertical="center"/>
      <protection/>
    </xf>
    <xf numFmtId="3" fontId="47" fillId="0" borderId="52" xfId="70" applyNumberFormat="1" applyFont="1" applyBorder="1" applyAlignment="1">
      <alignment vertical="center"/>
      <protection/>
    </xf>
    <xf numFmtId="0" fontId="47" fillId="0" borderId="66" xfId="70" applyFont="1" applyBorder="1" applyAlignment="1">
      <alignment horizontal="center" vertical="center"/>
      <protection/>
    </xf>
    <xf numFmtId="0" fontId="47" fillId="0" borderId="66" xfId="70" applyFont="1" applyBorder="1" applyAlignment="1">
      <alignment horizontal="center"/>
      <protection/>
    </xf>
    <xf numFmtId="0" fontId="47" fillId="0" borderId="53" xfId="70" applyFont="1" applyBorder="1" applyAlignment="1">
      <alignment vertical="center" wrapText="1"/>
      <protection/>
    </xf>
    <xf numFmtId="3" fontId="48" fillId="0" borderId="41" xfId="70" applyNumberFormat="1" applyFont="1" applyBorder="1" applyAlignment="1">
      <alignment/>
      <protection/>
    </xf>
    <xf numFmtId="3" fontId="48" fillId="0" borderId="0" xfId="70" applyNumberFormat="1" applyFont="1" applyBorder="1" applyAlignment="1">
      <alignment/>
      <protection/>
    </xf>
    <xf numFmtId="181" fontId="48" fillId="0" borderId="26" xfId="70" applyNumberFormat="1" applyFont="1" applyBorder="1">
      <alignment/>
      <protection/>
    </xf>
    <xf numFmtId="3" fontId="47" fillId="0" borderId="128" xfId="70" applyNumberFormat="1" applyFont="1" applyBorder="1" applyAlignment="1">
      <alignment/>
      <protection/>
    </xf>
    <xf numFmtId="0" fontId="47" fillId="0" borderId="64" xfId="70" applyFont="1" applyBorder="1" applyAlignment="1">
      <alignment horizontal="center" vertical="center"/>
      <protection/>
    </xf>
    <xf numFmtId="0" fontId="25" fillId="0" borderId="129" xfId="70" applyFont="1" applyBorder="1" applyAlignment="1">
      <alignment vertical="center" wrapText="1"/>
      <protection/>
    </xf>
    <xf numFmtId="3" fontId="27" fillId="0" borderId="18" xfId="70" applyNumberFormat="1" applyFont="1" applyBorder="1" applyAlignment="1">
      <alignment/>
      <protection/>
    </xf>
    <xf numFmtId="181" fontId="27" fillId="0" borderId="20" xfId="70" applyNumberFormat="1" applyFont="1" applyBorder="1" applyAlignment="1">
      <alignment/>
      <protection/>
    </xf>
    <xf numFmtId="3" fontId="25" fillId="0" borderId="130" xfId="70" applyNumberFormat="1" applyFont="1" applyBorder="1" applyAlignment="1">
      <alignment vertical="center"/>
      <protection/>
    </xf>
    <xf numFmtId="0" fontId="3" fillId="0" borderId="71" xfId="70" applyFont="1" applyBorder="1" applyAlignment="1">
      <alignment horizontal="center"/>
      <protection/>
    </xf>
    <xf numFmtId="0" fontId="21" fillId="0" borderId="71" xfId="70" applyFont="1" applyBorder="1" applyAlignment="1">
      <alignment horizontal="center" vertical="center"/>
      <protection/>
    </xf>
    <xf numFmtId="0" fontId="3" fillId="0" borderId="129" xfId="70" applyFont="1" applyBorder="1" applyAlignment="1">
      <alignment vertical="center"/>
      <protection/>
    </xf>
    <xf numFmtId="3" fontId="27" fillId="0" borderId="47" xfId="70" applyNumberFormat="1" applyFont="1" applyBorder="1" applyAlignment="1">
      <alignment/>
      <protection/>
    </xf>
    <xf numFmtId="3" fontId="27" fillId="0" borderId="45" xfId="70" applyNumberFormat="1" applyFont="1" applyBorder="1" applyAlignment="1">
      <alignment/>
      <protection/>
    </xf>
    <xf numFmtId="181" fontId="27" fillId="0" borderId="47" xfId="70" applyNumberFormat="1" applyFont="1" applyBorder="1">
      <alignment/>
      <protection/>
    </xf>
    <xf numFmtId="3" fontId="76" fillId="0" borderId="131" xfId="70" applyNumberFormat="1" applyFont="1" applyBorder="1" applyAlignment="1">
      <alignment vertical="center"/>
      <protection/>
    </xf>
    <xf numFmtId="0" fontId="39" fillId="39" borderId="53" xfId="70" applyFont="1" applyFill="1" applyBorder="1" applyAlignment="1">
      <alignment horizontal="center" vertical="center"/>
      <protection/>
    </xf>
    <xf numFmtId="0" fontId="39" fillId="39" borderId="121" xfId="70" applyFont="1" applyFill="1" applyBorder="1" applyAlignment="1">
      <alignment horizontal="center" vertical="center"/>
      <protection/>
    </xf>
    <xf numFmtId="0" fontId="39" fillId="39" borderId="132" xfId="70" applyFont="1" applyFill="1" applyBorder="1" applyAlignment="1">
      <alignment horizontal="center" vertical="center"/>
      <protection/>
    </xf>
    <xf numFmtId="0" fontId="67" fillId="0" borderId="0" xfId="70" applyAlignment="1">
      <alignment horizontal="center"/>
      <protection/>
    </xf>
    <xf numFmtId="3" fontId="67" fillId="0" borderId="0" xfId="70" applyNumberFormat="1" applyAlignment="1">
      <alignment/>
      <protection/>
    </xf>
    <xf numFmtId="3" fontId="76" fillId="0" borderId="0" xfId="70" applyNumberFormat="1" applyFont="1">
      <alignment/>
      <protection/>
    </xf>
    <xf numFmtId="183" fontId="67" fillId="0" borderId="0" xfId="70" applyNumberFormat="1">
      <alignment/>
      <protection/>
    </xf>
    <xf numFmtId="0" fontId="40" fillId="0" borderId="43" xfId="70" applyFont="1" applyBorder="1" applyAlignment="1">
      <alignment horizontal="left" vertical="center" wrapText="1" indent="3"/>
      <protection/>
    </xf>
    <xf numFmtId="181" fontId="40" fillId="0" borderId="20" xfId="70" applyNumberFormat="1" applyFont="1" applyBorder="1">
      <alignment/>
      <protection/>
    </xf>
    <xf numFmtId="3" fontId="40" fillId="0" borderId="62" xfId="70" applyNumberFormat="1" applyFont="1" applyBorder="1">
      <alignment/>
      <protection/>
    </xf>
    <xf numFmtId="3" fontId="40" fillId="0" borderId="20" xfId="70" applyNumberFormat="1" applyFont="1" applyBorder="1" applyAlignment="1">
      <alignment/>
      <protection/>
    </xf>
    <xf numFmtId="0" fontId="21" fillId="0" borderId="43" xfId="70" applyFont="1" applyBorder="1" applyAlignment="1">
      <alignment horizontal="left" vertical="center" wrapText="1"/>
      <protection/>
    </xf>
    <xf numFmtId="181" fontId="21" fillId="0" borderId="20" xfId="70" applyNumberFormat="1" applyFont="1" applyBorder="1" applyAlignment="1">
      <alignment vertical="center"/>
      <protection/>
    </xf>
    <xf numFmtId="3" fontId="21" fillId="0" borderId="62" xfId="70" applyNumberFormat="1" applyFont="1" applyBorder="1" applyAlignment="1">
      <alignment horizontal="right" vertical="center"/>
      <protection/>
    </xf>
    <xf numFmtId="0" fontId="69" fillId="0" borderId="43" xfId="70" applyFont="1" applyBorder="1" applyAlignment="1">
      <alignment horizontal="left" vertical="center" wrapText="1" indent="3"/>
      <protection/>
    </xf>
    <xf numFmtId="3" fontId="69" fillId="0" borderId="20" xfId="70" applyNumberFormat="1" applyFont="1" applyBorder="1" applyAlignment="1">
      <alignment wrapText="1"/>
      <protection/>
    </xf>
    <xf numFmtId="181" fontId="69" fillId="0" borderId="20" xfId="70" applyNumberFormat="1" applyFont="1" applyBorder="1">
      <alignment/>
      <protection/>
    </xf>
    <xf numFmtId="3" fontId="22" fillId="0" borderId="20" xfId="62" applyNumberFormat="1" applyFont="1" applyBorder="1" applyAlignment="1">
      <alignment horizontal="right" wrapText="1"/>
      <protection/>
    </xf>
    <xf numFmtId="0" fontId="7" fillId="0" borderId="20" xfId="62" applyFont="1" applyBorder="1" applyAlignment="1">
      <alignment horizontal="left" vertical="center" wrapText="1" indent="2"/>
      <protection/>
    </xf>
    <xf numFmtId="0" fontId="0" fillId="0" borderId="14" xfId="63" applyBorder="1">
      <alignment/>
      <protection/>
    </xf>
    <xf numFmtId="49" fontId="0" fillId="0" borderId="14" xfId="63" applyNumberFormat="1" applyBorder="1">
      <alignment/>
      <protection/>
    </xf>
    <xf numFmtId="0" fontId="16" fillId="0" borderId="20" xfId="63" applyFont="1" applyBorder="1">
      <alignment/>
      <protection/>
    </xf>
    <xf numFmtId="0" fontId="7" fillId="0" borderId="20" xfId="63" applyFont="1" applyBorder="1" applyAlignment="1">
      <alignment horizontal="left" indent="2"/>
      <protection/>
    </xf>
    <xf numFmtId="0" fontId="24" fillId="0" borderId="10" xfId="0" applyFont="1" applyFill="1" applyBorder="1" applyAlignment="1">
      <alignment horizontal="justify" vertical="center" wrapText="1"/>
    </xf>
    <xf numFmtId="0" fontId="4" fillId="33" borderId="13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8" fillId="0" borderId="20" xfId="0" applyFont="1" applyBorder="1" applyAlignment="1">
      <alignment wrapText="1"/>
    </xf>
    <xf numFmtId="49" fontId="8" fillId="0" borderId="18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8" fillId="0" borderId="20" xfId="0" applyNumberFormat="1" applyFont="1" applyBorder="1" applyAlignment="1">
      <alignment vertical="center"/>
    </xf>
    <xf numFmtId="0" fontId="6" fillId="33" borderId="19" xfId="0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4" fontId="6" fillId="0" borderId="26" xfId="0" applyNumberFormat="1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3" fontId="19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3" fontId="8" fillId="33" borderId="20" xfId="0" applyNumberFormat="1" applyFont="1" applyFill="1" applyBorder="1" applyAlignment="1">
      <alignment/>
    </xf>
    <xf numFmtId="0" fontId="38" fillId="0" borderId="20" xfId="0" applyFont="1" applyBorder="1" applyAlignment="1">
      <alignment/>
    </xf>
    <xf numFmtId="3" fontId="38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38" fillId="0" borderId="19" xfId="0" applyNumberFormat="1" applyFont="1" applyBorder="1" applyAlignment="1">
      <alignment/>
    </xf>
    <xf numFmtId="3" fontId="8" fillId="33" borderId="18" xfId="0" applyNumberFormat="1" applyFont="1" applyFill="1" applyBorder="1" applyAlignment="1">
      <alignment/>
    </xf>
    <xf numFmtId="16" fontId="9" fillId="33" borderId="17" xfId="0" applyNumberFormat="1" applyFont="1" applyFill="1" applyBorder="1" applyAlignment="1">
      <alignment/>
    </xf>
    <xf numFmtId="49" fontId="14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49" fontId="37" fillId="33" borderId="19" xfId="0" applyNumberFormat="1" applyFont="1" applyFill="1" applyBorder="1" applyAlignment="1">
      <alignment/>
    </xf>
    <xf numFmtId="16" fontId="9" fillId="0" borderId="20" xfId="0" applyNumberFormat="1" applyFont="1" applyBorder="1" applyAlignment="1">
      <alignment/>
    </xf>
    <xf numFmtId="16" fontId="19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0" fontId="31" fillId="0" borderId="19" xfId="0" applyFont="1" applyBorder="1" applyAlignment="1">
      <alignment horizontal="left"/>
    </xf>
    <xf numFmtId="0" fontId="50" fillId="0" borderId="20" xfId="71" applyFont="1" applyBorder="1" applyAlignment="1" applyProtection="1">
      <alignment horizontal="left" vertical="center" indent="1"/>
      <protection locked="0"/>
    </xf>
    <xf numFmtId="16" fontId="51" fillId="0" borderId="60" xfId="71" applyNumberFormat="1" applyFont="1" applyBorder="1" applyAlignment="1">
      <alignment horizontal="right" vertical="center" indent="1"/>
      <protection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8" fillId="0" borderId="0" xfId="0" applyFont="1" applyAlignment="1">
      <alignment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4" fillId="33" borderId="19" xfId="0" applyFont="1" applyFill="1" applyBorder="1" applyAlignment="1">
      <alignment/>
    </xf>
    <xf numFmtId="0" fontId="60" fillId="0" borderId="20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0" fontId="8" fillId="1" borderId="17" xfId="0" applyFont="1" applyFill="1" applyBorder="1" applyAlignment="1">
      <alignment/>
    </xf>
    <xf numFmtId="0" fontId="0" fillId="1" borderId="18" xfId="0" applyFill="1" applyBorder="1" applyAlignment="1">
      <alignment/>
    </xf>
    <xf numFmtId="0" fontId="0" fillId="1" borderId="19" xfId="0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Border="1" applyAlignment="1">
      <alignment horizontal="center" vertical="center"/>
    </xf>
    <xf numFmtId="3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91" fontId="63" fillId="0" borderId="17" xfId="63" applyNumberFormat="1" applyFont="1" applyBorder="1" applyAlignment="1">
      <alignment horizontal="center"/>
      <protection/>
    </xf>
    <xf numFmtId="191" fontId="63" fillId="0" borderId="112" xfId="63" applyNumberFormat="1" applyFont="1" applyBorder="1" applyAlignment="1">
      <alignment horizontal="center"/>
      <protection/>
    </xf>
    <xf numFmtId="0" fontId="58" fillId="0" borderId="0" xfId="63" applyFont="1" applyAlignment="1">
      <alignment horizontal="center"/>
      <protection/>
    </xf>
    <xf numFmtId="0" fontId="60" fillId="0" borderId="0" xfId="63" applyFont="1" applyAlignment="1">
      <alignment horizontal="center"/>
      <protection/>
    </xf>
    <xf numFmtId="0" fontId="65" fillId="0" borderId="134" xfId="63" applyFont="1" applyBorder="1" applyAlignment="1">
      <alignment/>
      <protection/>
    </xf>
    <xf numFmtId="0" fontId="65" fillId="0" borderId="91" xfId="63" applyFont="1" applyBorder="1" applyAlignment="1">
      <alignment/>
      <protection/>
    </xf>
    <xf numFmtId="49" fontId="20" fillId="0" borderId="65" xfId="63" applyNumberFormat="1" applyFont="1" applyBorder="1" applyAlignment="1">
      <alignment horizontal="center"/>
      <protection/>
    </xf>
    <xf numFmtId="49" fontId="20" fillId="0" borderId="92" xfId="63" applyNumberFormat="1" applyFont="1" applyBorder="1" applyAlignment="1">
      <alignment horizontal="center"/>
      <protection/>
    </xf>
    <xf numFmtId="49" fontId="63" fillId="0" borderId="17" xfId="63" applyNumberFormat="1" applyFont="1" applyBorder="1" applyAlignment="1">
      <alignment horizontal="center"/>
      <protection/>
    </xf>
    <xf numFmtId="49" fontId="63" fillId="0" borderId="112" xfId="63" applyNumberFormat="1" applyFont="1" applyBorder="1" applyAlignment="1">
      <alignment horizontal="center"/>
      <protection/>
    </xf>
    <xf numFmtId="3" fontId="76" fillId="0" borderId="0" xfId="70" applyNumberFormat="1" applyFont="1" applyAlignment="1">
      <alignment horizontal="center"/>
      <protection/>
    </xf>
    <xf numFmtId="183" fontId="25" fillId="39" borderId="132" xfId="43" applyNumberFormat="1" applyFont="1" applyFill="1" applyBorder="1" applyAlignment="1">
      <alignment horizontal="center"/>
    </xf>
    <xf numFmtId="183" fontId="25" fillId="39" borderId="126" xfId="43" applyNumberFormat="1" applyFont="1" applyFill="1" applyBorder="1" applyAlignment="1">
      <alignment horizontal="center"/>
    </xf>
    <xf numFmtId="183" fontId="76" fillId="0" borderId="0" xfId="70" applyNumberFormat="1" applyFont="1" applyAlignment="1">
      <alignment horizontal="center"/>
      <protection/>
    </xf>
    <xf numFmtId="0" fontId="47" fillId="0" borderId="135" xfId="70" applyFont="1" applyBorder="1" applyAlignment="1">
      <alignment horizontal="center"/>
      <protection/>
    </xf>
    <xf numFmtId="0" fontId="74" fillId="0" borderId="132" xfId="66" applyFont="1" applyBorder="1" applyAlignment="1">
      <alignment horizontal="center"/>
      <protection/>
    </xf>
    <xf numFmtId="3" fontId="47" fillId="0" borderId="121" xfId="70" applyNumberFormat="1" applyFont="1" applyBorder="1" applyAlignment="1">
      <alignment horizontal="right"/>
      <protection/>
    </xf>
    <xf numFmtId="3" fontId="47" fillId="0" borderId="126" xfId="70" applyNumberFormat="1" applyFont="1" applyBorder="1" applyAlignment="1">
      <alignment horizontal="right"/>
      <protection/>
    </xf>
    <xf numFmtId="3" fontId="25" fillId="39" borderId="0" xfId="43" applyNumberFormat="1" applyFont="1" applyFill="1" applyBorder="1" applyAlignment="1">
      <alignment horizontal="right"/>
    </xf>
    <xf numFmtId="0" fontId="47" fillId="0" borderId="44" xfId="70" applyFont="1" applyBorder="1" applyAlignment="1">
      <alignment horizontal="center" vertical="center"/>
      <protection/>
    </xf>
    <xf numFmtId="0" fontId="74" fillId="0" borderId="45" xfId="66" applyFont="1" applyBorder="1" applyAlignment="1">
      <alignment horizontal="center" vertical="center"/>
      <protection/>
    </xf>
    <xf numFmtId="0" fontId="74" fillId="0" borderId="46" xfId="66" applyFont="1" applyBorder="1" applyAlignment="1">
      <alignment horizontal="center" vertical="center"/>
      <protection/>
    </xf>
    <xf numFmtId="0" fontId="25" fillId="39" borderId="53" xfId="70" applyFont="1" applyFill="1" applyBorder="1" applyAlignment="1">
      <alignment horizontal="center" vertical="center"/>
      <protection/>
    </xf>
    <xf numFmtId="0" fontId="25" fillId="39" borderId="121" xfId="70" applyFont="1" applyFill="1" applyBorder="1" applyAlignment="1">
      <alignment horizontal="center" vertical="center"/>
      <protection/>
    </xf>
    <xf numFmtId="0" fontId="43" fillId="0" borderId="121" xfId="66" applyFont="1" applyBorder="1" applyAlignment="1">
      <alignment horizontal="center" vertical="center"/>
      <protection/>
    </xf>
    <xf numFmtId="3" fontId="25" fillId="39" borderId="121" xfId="43" applyNumberFormat="1" applyFont="1" applyFill="1" applyBorder="1" applyAlignment="1">
      <alignment horizontal="right"/>
    </xf>
    <xf numFmtId="3" fontId="25" fillId="39" borderId="126" xfId="43" applyNumberFormat="1" applyFont="1" applyFill="1" applyBorder="1" applyAlignment="1">
      <alignment horizontal="right"/>
    </xf>
    <xf numFmtId="0" fontId="27" fillId="39" borderId="108" xfId="70" applyFont="1" applyFill="1" applyBorder="1" applyAlignment="1">
      <alignment horizontal="center" vertical="center" wrapText="1"/>
      <protection/>
    </xf>
    <xf numFmtId="0" fontId="27" fillId="39" borderId="109" xfId="70" applyFont="1" applyFill="1" applyBorder="1" applyAlignment="1">
      <alignment horizontal="center" vertical="center" wrapText="1"/>
      <protection/>
    </xf>
    <xf numFmtId="0" fontId="27" fillId="39" borderId="135" xfId="70" applyFont="1" applyFill="1" applyBorder="1" applyAlignment="1">
      <alignment horizontal="center" vertical="center" wrapText="1"/>
      <protection/>
    </xf>
    <xf numFmtId="0" fontId="27" fillId="39" borderId="132" xfId="70" applyFont="1" applyFill="1" applyBorder="1" applyAlignment="1">
      <alignment horizontal="center" vertical="center" wrapText="1"/>
      <protection/>
    </xf>
    <xf numFmtId="0" fontId="25" fillId="39" borderId="53" xfId="70" applyFont="1" applyFill="1" applyBorder="1" applyAlignment="1">
      <alignment horizontal="center"/>
      <protection/>
    </xf>
    <xf numFmtId="0" fontId="25" fillId="39" borderId="121" xfId="70" applyFont="1" applyFill="1" applyBorder="1" applyAlignment="1">
      <alignment horizontal="center"/>
      <protection/>
    </xf>
    <xf numFmtId="0" fontId="25" fillId="39" borderId="126" xfId="70" applyFont="1" applyFill="1" applyBorder="1" applyAlignment="1">
      <alignment horizontal="center"/>
      <protection/>
    </xf>
    <xf numFmtId="0" fontId="39" fillId="0" borderId="109" xfId="70" applyFont="1" applyBorder="1" applyAlignment="1">
      <alignment horizontal="center" vertical="center" wrapText="1"/>
      <protection/>
    </xf>
    <xf numFmtId="0" fontId="39" fillId="0" borderId="136" xfId="70" applyFont="1" applyBorder="1" applyAlignment="1">
      <alignment horizontal="center" vertical="center" wrapText="1"/>
      <protection/>
    </xf>
    <xf numFmtId="0" fontId="47" fillId="0" borderId="53" xfId="70" applyFont="1" applyBorder="1" applyAlignment="1">
      <alignment horizontal="center" vertical="center"/>
      <protection/>
    </xf>
    <xf numFmtId="0" fontId="96" fillId="0" borderId="121" xfId="66" applyBorder="1" applyAlignment="1">
      <alignment horizontal="center" vertical="center"/>
      <protection/>
    </xf>
    <xf numFmtId="49" fontId="15" fillId="0" borderId="18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left"/>
    </xf>
    <xf numFmtId="49" fontId="22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3" fillId="0" borderId="17" xfId="65" applyFont="1" applyBorder="1" applyAlignment="1">
      <alignment horizontal="center" vertical="center"/>
      <protection/>
    </xf>
    <xf numFmtId="0" fontId="3" fillId="0" borderId="18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63" fillId="0" borderId="14" xfId="63" applyFont="1" applyBorder="1" applyAlignment="1">
      <alignment horizontal="center"/>
      <protection/>
    </xf>
    <xf numFmtId="0" fontId="6" fillId="0" borderId="20" xfId="63" applyFont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0" fontId="3" fillId="0" borderId="10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3" fillId="0" borderId="137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199" fontId="45" fillId="0" borderId="110" xfId="71" applyNumberFormat="1" applyFont="1" applyFill="1" applyBorder="1" applyAlignment="1">
      <alignment horizontal="center" vertical="center" wrapText="1"/>
      <protection/>
    </xf>
    <xf numFmtId="199" fontId="45" fillId="0" borderId="120" xfId="71" applyNumberFormat="1" applyFont="1" applyFill="1" applyBorder="1" applyAlignment="1">
      <alignment horizontal="center" vertical="center" wrapText="1"/>
      <protection/>
    </xf>
    <xf numFmtId="199" fontId="45" fillId="0" borderId="110" xfId="71" applyNumberFormat="1" applyFont="1" applyFill="1" applyBorder="1" applyAlignment="1">
      <alignment horizontal="center" vertical="center"/>
      <protection/>
    </xf>
    <xf numFmtId="199" fontId="45" fillId="0" borderId="120" xfId="71" applyNumberFormat="1" applyFont="1" applyFill="1" applyBorder="1" applyAlignment="1">
      <alignment horizontal="center" vertical="center"/>
      <protection/>
    </xf>
    <xf numFmtId="0" fontId="49" fillId="0" borderId="0" xfId="71" applyNumberFormat="1" applyFont="1" applyFill="1" applyAlignment="1">
      <alignment horizontal="left" wrapText="1"/>
      <protection/>
    </xf>
    <xf numFmtId="199" fontId="45" fillId="0" borderId="101" xfId="71" applyNumberFormat="1" applyFont="1" applyFill="1" applyBorder="1" applyAlignment="1">
      <alignment horizontal="center" vertical="center"/>
      <protection/>
    </xf>
    <xf numFmtId="199" fontId="45" fillId="0" borderId="102" xfId="71" applyNumberFormat="1" applyFont="1" applyFill="1" applyBorder="1" applyAlignment="1">
      <alignment horizontal="center" vertical="center"/>
      <protection/>
    </xf>
    <xf numFmtId="199" fontId="47" fillId="0" borderId="53" xfId="71" applyNumberFormat="1" applyFont="1" applyFill="1" applyBorder="1" applyAlignment="1">
      <alignment horizontal="left" vertical="center" wrapText="1" indent="2"/>
      <protection/>
    </xf>
    <xf numFmtId="199" fontId="47" fillId="0" borderId="126" xfId="71" applyNumberFormat="1" applyFont="1" applyFill="1" applyBorder="1" applyAlignment="1">
      <alignment horizontal="left" vertical="center" wrapText="1" indent="2"/>
      <protection/>
    </xf>
    <xf numFmtId="0" fontId="47" fillId="0" borderId="0" xfId="68" applyFont="1" applyFill="1" applyBorder="1" applyAlignment="1" applyProtection="1">
      <alignment horizontal="left" wrapText="1"/>
      <protection locked="0"/>
    </xf>
    <xf numFmtId="0" fontId="39" fillId="0" borderId="0" xfId="68" applyFont="1" applyFill="1" applyBorder="1" applyAlignment="1">
      <alignment horizontal="right"/>
      <protection/>
    </xf>
    <xf numFmtId="3" fontId="48" fillId="0" borderId="138" xfId="68" applyNumberFormat="1" applyFont="1" applyFill="1" applyBorder="1" applyAlignment="1" applyProtection="1">
      <alignment horizontal="right" vertical="center"/>
      <protection locked="0"/>
    </xf>
    <xf numFmtId="3" fontId="48" fillId="0" borderId="139" xfId="68" applyNumberFormat="1" applyFont="1" applyFill="1" applyBorder="1" applyAlignment="1" applyProtection="1">
      <alignment horizontal="right" vertical="center"/>
      <protection locked="0"/>
    </xf>
    <xf numFmtId="3" fontId="47" fillId="0" borderId="90" xfId="68" applyNumberFormat="1" applyFont="1" applyFill="1" applyBorder="1" applyAlignment="1" applyProtection="1">
      <alignment horizontal="right" vertical="center"/>
      <protection locked="0"/>
    </xf>
    <xf numFmtId="3" fontId="47" fillId="0" borderId="139" xfId="68" applyNumberFormat="1" applyFont="1" applyFill="1" applyBorder="1" applyAlignment="1" applyProtection="1">
      <alignment horizontal="right" vertical="center"/>
      <protection locked="0"/>
    </xf>
    <xf numFmtId="0" fontId="51" fillId="0" borderId="109" xfId="71" applyFont="1" applyFill="1" applyBorder="1" applyAlignment="1">
      <alignment horizontal="justify" vertical="center" wrapText="1"/>
      <protection/>
    </xf>
    <xf numFmtId="0" fontId="55" fillId="0" borderId="55" xfId="72" applyFont="1" applyFill="1" applyBorder="1" applyAlignment="1" applyProtection="1">
      <alignment horizontal="left" vertical="center" indent="1"/>
      <protection/>
    </xf>
    <xf numFmtId="0" fontId="55" fillId="0" borderId="121" xfId="72" applyFont="1" applyFill="1" applyBorder="1" applyAlignment="1" applyProtection="1">
      <alignment horizontal="left" vertical="center" indent="1"/>
      <protection/>
    </xf>
    <xf numFmtId="0" fontId="55" fillId="0" borderId="126" xfId="72" applyFont="1" applyFill="1" applyBorder="1" applyAlignment="1" applyProtection="1">
      <alignment horizontal="left" vertical="center" indent="1"/>
      <protection/>
    </xf>
    <xf numFmtId="0" fontId="8" fillId="1" borderId="17" xfId="63" applyFont="1" applyFill="1" applyBorder="1" applyAlignment="1">
      <alignment/>
      <protection/>
    </xf>
    <xf numFmtId="0" fontId="0" fillId="1" borderId="18" xfId="63" applyFill="1" applyBorder="1" applyAlignment="1">
      <alignment/>
      <protection/>
    </xf>
    <xf numFmtId="0" fontId="0" fillId="1" borderId="19" xfId="63" applyFill="1" applyBorder="1" applyAlignment="1">
      <alignment/>
      <protection/>
    </xf>
    <xf numFmtId="0" fontId="8" fillId="33" borderId="17" xfId="63" applyFont="1" applyFill="1" applyBorder="1" applyAlignment="1">
      <alignment/>
      <protection/>
    </xf>
    <xf numFmtId="0" fontId="0" fillId="0" borderId="18" xfId="63" applyBorder="1" applyAlignment="1">
      <alignment/>
      <protection/>
    </xf>
    <xf numFmtId="0" fontId="0" fillId="0" borderId="19" xfId="63" applyBorder="1" applyAlignment="1">
      <alignment/>
      <protection/>
    </xf>
    <xf numFmtId="0" fontId="3" fillId="0" borderId="10" xfId="63" applyFont="1" applyBorder="1" applyAlignment="1">
      <alignment horizontal="center" vertical="center"/>
      <protection/>
    </xf>
    <xf numFmtId="0" fontId="8" fillId="34" borderId="17" xfId="63" applyFont="1" applyFill="1" applyBorder="1" applyAlignment="1">
      <alignment horizontal="center"/>
      <protection/>
    </xf>
    <xf numFmtId="0" fontId="0" fillId="34" borderId="18" xfId="63" applyFill="1" applyBorder="1" applyAlignment="1">
      <alignment horizontal="center"/>
      <protection/>
    </xf>
    <xf numFmtId="0" fontId="0" fillId="34" borderId="19" xfId="63" applyFill="1" applyBorder="1" applyAlignment="1">
      <alignment horizontal="center"/>
      <protection/>
    </xf>
    <xf numFmtId="0" fontId="35" fillId="0" borderId="19" xfId="0" applyFont="1" applyBorder="1" applyAlignment="1">
      <alignment horizontal="center"/>
    </xf>
    <xf numFmtId="3" fontId="8" fillId="0" borderId="1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49" fontId="95" fillId="0" borderId="18" xfId="0" applyNumberFormat="1" applyFont="1" applyBorder="1" applyAlignment="1">
      <alignment horizontal="center"/>
    </xf>
    <xf numFmtId="49" fontId="95" fillId="0" borderId="19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/>
    </xf>
    <xf numFmtId="49" fontId="15" fillId="0" borderId="23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49" fontId="6" fillId="0" borderId="31" xfId="0" applyNumberFormat="1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8" fillId="0" borderId="106" xfId="0" applyFont="1" applyBorder="1" applyAlignment="1">
      <alignment horizontal="center"/>
    </xf>
    <xf numFmtId="0" fontId="8" fillId="0" borderId="14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3" fontId="6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104" xfId="0" applyFont="1" applyBorder="1" applyAlignment="1">
      <alignment/>
    </xf>
    <xf numFmtId="49" fontId="15" fillId="0" borderId="18" xfId="63" applyNumberFormat="1" applyFont="1" applyBorder="1">
      <alignment/>
      <protection/>
    </xf>
    <xf numFmtId="49" fontId="15" fillId="0" borderId="19" xfId="63" applyNumberFormat="1" applyFont="1" applyBorder="1">
      <alignment/>
      <protection/>
    </xf>
    <xf numFmtId="49" fontId="7" fillId="0" borderId="18" xfId="62" applyNumberFormat="1" applyFont="1" applyBorder="1" applyAlignment="1">
      <alignment horizontal="left" vertical="center"/>
      <protection/>
    </xf>
    <xf numFmtId="49" fontId="15" fillId="0" borderId="18" xfId="62" applyNumberFormat="1" applyFont="1" applyBorder="1" applyAlignment="1">
      <alignment horizontal="left" vertical="center"/>
      <protection/>
    </xf>
    <xf numFmtId="49" fontId="11" fillId="0" borderId="18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vertical="center"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4" xfId="45"/>
    <cellStyle name="Figyelmeztetés" xfId="46"/>
    <cellStyle name="Hiperhivatkozá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Már látott hiperhivatkozás" xfId="61"/>
    <cellStyle name="Normál 2" xfId="62"/>
    <cellStyle name="Normál 2 2" xfId="63"/>
    <cellStyle name="Normál 2_2010. koncepció  3.b tábla javítása" xfId="64"/>
    <cellStyle name="Normál 3" xfId="65"/>
    <cellStyle name="Normál 4" xfId="66"/>
    <cellStyle name="Normál 5" xfId="67"/>
    <cellStyle name="Normál 5 2" xfId="68"/>
    <cellStyle name="Normál 6" xfId="69"/>
    <cellStyle name="Normál_2005. normatíva" xfId="70"/>
    <cellStyle name="Normál_KVIREND" xfId="71"/>
    <cellStyle name="Normál_SEGEDLETEK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13"/>
      </font>
    </dxf>
    <dxf>
      <font>
        <b val="0"/>
        <sz val="11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-server1\saldo\2006.&#233;v\2006.%20K&#246;lts&#233;gvet&#233;s%2002.16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&#243;th%20Erika\Local%20Settings\Temporary%20Internet%20Files\Content.IE5\6I053VER\K&#246;lts&#233;gvet&#233;s%202008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nzugy_Kozos\k\2008\Z&#225;rsz&#225;mad&#225;s\20071231%20Besz&#223;mol&#8804;08-04-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nzugy_Kozos\k\2009\2009.%20&#233;vi%20k&#246;lts&#233;gvet&#233;s\2009.%20k&#246;lts&#233;gvet&#233;s%20v&#233;gleges\2009.%20&#233;vi%20k&#246;lts&#233;gvet&#233;s%20egyeztet&#233;s%20ut&#225;%2009-02-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nzugy_Kozos\k\2010\2010.%20K&#246;lts&#233;gvet&#233;s\k&#246;lts&#233;gvet&#233;s%20v&#233;gleges\v&#233;gleges-v&#233;gleges\2010.%20&#233;vi%20k&#246;lts&#233;gvet&#233;s%20C.C.%20A%20szerint%205%-os%20cs&#246;kkent&#233;ssel10-02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össz"/>
      <sheetName val="1a.sz.melléklet"/>
      <sheetName val="1b.melléklet"/>
      <sheetName val="1c melléklet"/>
      <sheetName val="német 1d.sz. mell. "/>
      <sheetName val="cigány 1e sz. mell"/>
      <sheetName val="2a sz.melléklet"/>
      <sheetName val="2b.sz.melléklet"/>
      <sheetName val="3asz.melléklet"/>
      <sheetName val="3b.szmelléklet"/>
      <sheetName val="4.sz.melléklet"/>
      <sheetName val="5.sz.mell."/>
      <sheetName val="6.sz.mell."/>
      <sheetName val="7a. sz mell."/>
      <sheetName val="7b. sz mell. "/>
      <sheetName val="8.sz.melléklet"/>
      <sheetName val="9.sz.melléklet"/>
      <sheetName val="10.sz.melléklet"/>
      <sheetName val="11. számú melléklet"/>
      <sheetName val="12.sz.melléklet "/>
      <sheetName val="13.sz.melléklet"/>
      <sheetName val="ellenőr"/>
      <sheetName val="14.sz.melléklet"/>
    </sheetNames>
    <sheetDataSet>
      <sheetData sheetId="4">
        <row r="13">
          <cell r="F13">
            <v>3140</v>
          </cell>
        </row>
      </sheetData>
      <sheetData sheetId="5">
        <row r="13">
          <cell r="F13">
            <v>3140</v>
          </cell>
        </row>
      </sheetData>
      <sheetData sheetId="6">
        <row r="48">
          <cell r="F48">
            <v>2619300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össz"/>
      <sheetName val="1a.sz.melléklet"/>
      <sheetName val="1b.melléklet"/>
      <sheetName val="1c. melléklet"/>
      <sheetName val="német 1d.sz. mell. "/>
      <sheetName val="cigány 1e sz. mell"/>
      <sheetName val="2a sz.melléklet"/>
      <sheetName val="2b.sz.melléklet"/>
      <sheetName val="3asz.melléklet"/>
      <sheetName val="3b.szmelléklet "/>
      <sheetName val="4.sz.melléklet"/>
      <sheetName val="5.sz.mell. (3)"/>
      <sheetName val="5.sz.mell."/>
      <sheetName val="6.sz.mell. (3)"/>
      <sheetName val="6.sz.mell."/>
      <sheetName val="7a. sz mell."/>
      <sheetName val="7b. sz mell. "/>
      <sheetName val="8.sz.melléklet (2)"/>
      <sheetName val="9.sz.melléklet"/>
      <sheetName val="10.sz.melléklet"/>
      <sheetName val="11. számú melléklet "/>
      <sheetName val="12.sz.melléklet "/>
      <sheetName val="13.sz.melléklet"/>
      <sheetName val="ellenőr"/>
      <sheetName val="14.sz.melléklet"/>
      <sheetName val="7a. sz mell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sz.melléklet"/>
      <sheetName val="1.sz.össz"/>
      <sheetName val="1a.sz.melléklet"/>
      <sheetName val="2a sz.melléklet"/>
      <sheetName val="2b.sz.melléklet"/>
      <sheetName val="3asz.melléklet"/>
      <sheetName val="3b.szmelléklet "/>
      <sheetName val="4.sz.melléklet"/>
      <sheetName val="5.sz.mell.2007.12.31."/>
      <sheetName val="6.sz.mell.2007.12.31."/>
      <sheetName val="7a. sz mell."/>
      <sheetName val="7b. sz mell. "/>
      <sheetName val="8.sz. mell. 2008."/>
      <sheetName val="9.sz.mell "/>
      <sheetName val="10.sz.mell "/>
      <sheetName val="11.sz.mell "/>
      <sheetName val=" 12. sz. mell "/>
      <sheetName val="13. sz. mell "/>
      <sheetName val="14.sz.mell  "/>
      <sheetName val="15.sz.mell."/>
      <sheetName val="16.sz.mell."/>
      <sheetName val="17.a.sz.mell."/>
      <sheetName val="17b.sz.melléklet"/>
      <sheetName val="18a.sz.melléklet"/>
      <sheetName val="18b.sz.melléklet  "/>
      <sheetName val="19.sz.mellE"/>
      <sheetName val="19.sz.mellF"/>
      <sheetName val="20.a.sz.mell. E"/>
      <sheetName val="20.b.sz.mell. F"/>
      <sheetName val="20.c.sz.mell."/>
      <sheetName val="20.d.mell"/>
      <sheetName val="21.sz.mell."/>
      <sheetName val="22.sz.melléklet"/>
      <sheetName val="23.a.sz. mell. "/>
      <sheetName val="23.bsz.mell."/>
      <sheetName val="24.asz.mell."/>
      <sheetName val="24.bsz.mell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sz.melléklet"/>
      <sheetName val="1.sz.össz"/>
      <sheetName val="1a.sz.melléklet"/>
      <sheetName val="1b.melléklet"/>
      <sheetName val="1c. melléklet"/>
      <sheetName val="német 1d.sz. mell. "/>
      <sheetName val="cigány 1e sz. mell"/>
      <sheetName val="2a sz.melléklet"/>
      <sheetName val="2b.sz.melléklet"/>
      <sheetName val="3asz.melléklet"/>
      <sheetName val="3b.szmelléklet "/>
      <sheetName val="3c.sz melléklet"/>
      <sheetName val="4.sz.melléklet"/>
      <sheetName val="5.sz.melléklet"/>
      <sheetName val="6.sz.melléklet "/>
      <sheetName val="7a. sz mell."/>
      <sheetName val="7b. sz mell."/>
      <sheetName val="8.sz. mell."/>
      <sheetName val="9.sz. mell"/>
      <sheetName val=" 10. sz. mell "/>
      <sheetName val="11. sz.mell "/>
      <sheetName val="12.sz.mell"/>
      <sheetName val="13.a.sz.mell. "/>
      <sheetName val="14.sz.mell."/>
      <sheetName val="15. sz. mell. "/>
      <sheetName val="Munka1"/>
      <sheetName val="12.sz.melléklet "/>
    </sheetNames>
    <sheetDataSet>
      <sheetData sheetId="12">
        <row r="143">
          <cell r="I143">
            <v>0</v>
          </cell>
          <cell r="J143">
            <v>0</v>
          </cell>
        </row>
        <row r="144">
          <cell r="J1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sz.össz"/>
      <sheetName val="1a. melléklet"/>
      <sheetName val="1b.melléklet (2)"/>
      <sheetName val="2a sz.melléklet"/>
      <sheetName val="2b.sz.melléklet"/>
      <sheetName val="3.sz.melléklet"/>
      <sheetName val="3asz.melléklet"/>
      <sheetName val="3b.sz.melléklet"/>
      <sheetName val="3c.szmelléklet"/>
      <sheetName val="német 3d.sz. mell. "/>
      <sheetName val="cigány 3e sz. mell"/>
      <sheetName val="3f.sz melléklet"/>
      <sheetName val="4. sz. melléklet EÜ."/>
      <sheetName val="5.sz.melléklet"/>
      <sheetName val="6.sz.melléklet "/>
      <sheetName val="7a. sz mell."/>
      <sheetName val="7b. sz mell."/>
      <sheetName val="8.sz. mell. (2)"/>
      <sheetName val="9.sz.melléklet1"/>
      <sheetName val=" 10. sz. mell "/>
      <sheetName val="11. sz.mell (2)"/>
      <sheetName val="12.sz.mell (2)"/>
      <sheetName val="13.a.sz.mell. "/>
      <sheetName val="14.sz.mell."/>
      <sheetName val="15. sz. mell. "/>
      <sheetName val="Munka1"/>
      <sheetName val="Eu projekt"/>
    </sheetNames>
    <sheetDataSet>
      <sheetData sheetId="6">
        <row r="15">
          <cell r="I15">
            <v>58496</v>
          </cell>
          <cell r="J15">
            <v>58596</v>
          </cell>
        </row>
        <row r="29">
          <cell r="I29">
            <v>1376116</v>
          </cell>
          <cell r="J29">
            <v>1609000</v>
          </cell>
        </row>
        <row r="107">
          <cell r="I107">
            <v>18000</v>
          </cell>
          <cell r="J107">
            <v>5000</v>
          </cell>
        </row>
      </sheetData>
      <sheetData sheetId="7">
        <row r="20">
          <cell r="I20">
            <v>787</v>
          </cell>
          <cell r="J20">
            <v>241</v>
          </cell>
        </row>
        <row r="21">
          <cell r="I21">
            <v>791</v>
          </cell>
          <cell r="J21">
            <v>417</v>
          </cell>
        </row>
        <row r="24">
          <cell r="I24">
            <v>8000</v>
          </cell>
          <cell r="J24">
            <v>9000</v>
          </cell>
        </row>
        <row r="25">
          <cell r="I25">
            <v>10000</v>
          </cell>
          <cell r="J25">
            <v>10000</v>
          </cell>
        </row>
        <row r="27">
          <cell r="I27">
            <v>6758</v>
          </cell>
          <cell r="J27">
            <v>4527</v>
          </cell>
        </row>
        <row r="28">
          <cell r="I28">
            <v>16230</v>
          </cell>
          <cell r="J28">
            <v>10409</v>
          </cell>
        </row>
        <row r="29">
          <cell r="I29">
            <v>4897</v>
          </cell>
          <cell r="J29">
            <v>2515</v>
          </cell>
        </row>
        <row r="135">
          <cell r="I135">
            <v>0</v>
          </cell>
          <cell r="J135">
            <v>0</v>
          </cell>
        </row>
        <row r="163">
          <cell r="I163">
            <v>6848</v>
          </cell>
          <cell r="J163">
            <v>6848</v>
          </cell>
        </row>
        <row r="164">
          <cell r="I164">
            <v>5000</v>
          </cell>
          <cell r="J164">
            <v>5000</v>
          </cell>
        </row>
        <row r="165">
          <cell r="I165">
            <v>10000</v>
          </cell>
          <cell r="J165">
            <v>10000</v>
          </cell>
        </row>
        <row r="166">
          <cell r="J166">
            <v>42659</v>
          </cell>
        </row>
        <row r="167">
          <cell r="I167">
            <v>1792</v>
          </cell>
          <cell r="J167">
            <v>1789</v>
          </cell>
        </row>
        <row r="168">
          <cell r="I168">
            <v>1342</v>
          </cell>
          <cell r="J168">
            <v>1446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view="pageBreakPreview" zoomScaleNormal="110" zoomScaleSheetLayoutView="100" workbookViewId="0" topLeftCell="A1">
      <selection activeCell="G20" sqref="G20"/>
    </sheetView>
  </sheetViews>
  <sheetFormatPr defaultColWidth="9.140625" defaultRowHeight="12.75"/>
  <cols>
    <col min="1" max="1" width="2.140625" style="0" customWidth="1"/>
    <col min="2" max="2" width="3.57421875" style="24" customWidth="1"/>
    <col min="3" max="3" width="5.140625" style="24" customWidth="1"/>
    <col min="4" max="4" width="49.140625" style="0" customWidth="1"/>
    <col min="5" max="7" width="13.57421875" style="0" customWidth="1"/>
    <col min="8" max="8" width="6.8515625" style="210" hidden="1" customWidth="1"/>
    <col min="9" max="13" width="9.140625" style="0" hidden="1" customWidth="1"/>
    <col min="14" max="14" width="0" style="0" hidden="1" customWidth="1"/>
    <col min="16" max="16" width="23.140625" style="0" customWidth="1"/>
    <col min="17" max="18" width="16.7109375" style="0" customWidth="1"/>
  </cols>
  <sheetData>
    <row r="1" spans="1:14" ht="55.5" customHeight="1">
      <c r="A1" s="1076" t="s">
        <v>9</v>
      </c>
      <c r="B1" s="1076"/>
      <c r="C1" s="1076"/>
      <c r="D1" s="1" t="s">
        <v>10</v>
      </c>
      <c r="E1" s="204" t="s">
        <v>913</v>
      </c>
      <c r="F1" s="204" t="s">
        <v>916</v>
      </c>
      <c r="G1" s="204" t="s">
        <v>1133</v>
      </c>
      <c r="H1" s="209" t="s">
        <v>12</v>
      </c>
      <c r="N1" s="191" t="s">
        <v>12</v>
      </c>
    </row>
    <row r="2" spans="1:14" ht="16.5">
      <c r="A2" s="1070" t="s">
        <v>491</v>
      </c>
      <c r="B2" s="1071"/>
      <c r="C2" s="1071"/>
      <c r="D2" s="1072"/>
      <c r="E2" s="235"/>
      <c r="F2" s="235"/>
      <c r="G2" s="235"/>
      <c r="H2" s="211"/>
      <c r="N2" s="235"/>
    </row>
    <row r="3" spans="1:14" ht="16.5">
      <c r="A3" s="1073" t="s">
        <v>488</v>
      </c>
      <c r="B3" s="1074"/>
      <c r="C3" s="1074"/>
      <c r="D3" s="1075"/>
      <c r="E3" s="230"/>
      <c r="F3" s="230"/>
      <c r="G3" s="230"/>
      <c r="H3" s="230"/>
      <c r="N3" s="230"/>
    </row>
    <row r="4" spans="1:14" ht="16.5">
      <c r="A4" s="66"/>
      <c r="B4" s="34" t="s">
        <v>16</v>
      </c>
      <c r="C4" s="74"/>
      <c r="D4" s="35" t="s">
        <v>48</v>
      </c>
      <c r="E4" s="32">
        <v>609632</v>
      </c>
      <c r="F4" s="32">
        <v>278681</v>
      </c>
      <c r="G4" s="32">
        <f>SUM('2a sz.melléklet'!G3)</f>
        <v>308920</v>
      </c>
      <c r="H4" s="32"/>
      <c r="N4" s="32" t="e">
        <f>#REF!/#REF!*100</f>
        <v>#REF!</v>
      </c>
    </row>
    <row r="5" spans="1:16" s="213" customFormat="1" ht="16.5">
      <c r="A5" s="66"/>
      <c r="B5" s="34" t="s">
        <v>17</v>
      </c>
      <c r="C5" s="74"/>
      <c r="D5" s="35" t="s">
        <v>18</v>
      </c>
      <c r="E5" s="32">
        <v>1999396</v>
      </c>
      <c r="F5" s="32">
        <v>1956653</v>
      </c>
      <c r="G5" s="32">
        <f>SUM('2a sz.melléklet'!G4)</f>
        <v>1973739</v>
      </c>
      <c r="H5" s="32"/>
      <c r="N5" s="32" t="e">
        <f>#REF!/#REF!*100</f>
        <v>#REF!</v>
      </c>
      <c r="P5" s="270"/>
    </row>
    <row r="6" spans="1:14" s="213" customFormat="1" ht="16.5">
      <c r="A6" s="66"/>
      <c r="B6" s="34" t="s">
        <v>36</v>
      </c>
      <c r="C6" s="74"/>
      <c r="D6" s="35" t="s">
        <v>21</v>
      </c>
      <c r="E6" s="32">
        <v>1014688</v>
      </c>
      <c r="F6" s="32">
        <v>985217</v>
      </c>
      <c r="G6" s="32">
        <f>SUM('2a sz.melléklet'!G5)</f>
        <v>764308</v>
      </c>
      <c r="H6" s="32"/>
      <c r="N6" s="32" t="e">
        <f>#REF!/#REF!*100</f>
        <v>#REF!</v>
      </c>
    </row>
    <row r="7" spans="1:14" s="213" customFormat="1" ht="16.5">
      <c r="A7" s="66"/>
      <c r="B7" s="34" t="s">
        <v>37</v>
      </c>
      <c r="C7" s="74"/>
      <c r="D7" s="35" t="s">
        <v>619</v>
      </c>
      <c r="E7" s="32">
        <v>459080</v>
      </c>
      <c r="F7" s="32">
        <v>579955</v>
      </c>
      <c r="G7" s="32">
        <f>SUM('2a sz.melléklet'!G6)</f>
        <v>542934</v>
      </c>
      <c r="H7" s="32"/>
      <c r="N7" s="32" t="e">
        <f>#REF!/#REF!*100</f>
        <v>#REF!</v>
      </c>
    </row>
    <row r="8" spans="1:14" s="213" customFormat="1" ht="16.5">
      <c r="A8" s="66"/>
      <c r="B8" s="34" t="s">
        <v>38</v>
      </c>
      <c r="C8" s="74"/>
      <c r="D8" s="35" t="s">
        <v>621</v>
      </c>
      <c r="E8" s="32">
        <v>9362</v>
      </c>
      <c r="F8" s="32">
        <v>29034</v>
      </c>
      <c r="G8" s="32">
        <f>SUM('2a sz.melléklet'!G7)</f>
        <v>0</v>
      </c>
      <c r="H8" s="32"/>
      <c r="N8" s="32"/>
    </row>
    <row r="9" spans="1:14" s="213" customFormat="1" ht="16.5">
      <c r="A9" s="66"/>
      <c r="B9" s="34" t="s">
        <v>39</v>
      </c>
      <c r="C9" s="74"/>
      <c r="D9" s="35" t="s">
        <v>142</v>
      </c>
      <c r="E9" s="32">
        <v>0</v>
      </c>
      <c r="F9" s="32">
        <v>0</v>
      </c>
      <c r="G9" s="32">
        <f>SUM('2a sz.melléklet'!G8)</f>
        <v>0</v>
      </c>
      <c r="H9" s="32"/>
      <c r="N9" s="32"/>
    </row>
    <row r="10" spans="1:14" ht="19.5" customHeight="1">
      <c r="A10" s="1067" t="s">
        <v>642</v>
      </c>
      <c r="B10" s="1068"/>
      <c r="C10" s="1068"/>
      <c r="D10" s="1069"/>
      <c r="E10" s="215">
        <f>SUM(E4:E9)</f>
        <v>4092158</v>
      </c>
      <c r="F10" s="215">
        <f>SUM(F4:F9)</f>
        <v>3829540</v>
      </c>
      <c r="G10" s="215">
        <f>SUM(G4:G9)</f>
        <v>3589901</v>
      </c>
      <c r="H10" s="215"/>
      <c r="N10" s="215" t="e">
        <f>#REF!/#REF!*100</f>
        <v>#REF!</v>
      </c>
    </row>
    <row r="11" spans="1:14" s="213" customFormat="1" ht="16.5">
      <c r="A11" s="66"/>
      <c r="B11" s="34" t="s">
        <v>42</v>
      </c>
      <c r="C11" s="74"/>
      <c r="D11" s="35" t="s">
        <v>635</v>
      </c>
      <c r="E11" s="32">
        <v>625400</v>
      </c>
      <c r="F11" s="32">
        <v>505580</v>
      </c>
      <c r="G11" s="32">
        <f>SUM('2a sz.melléklet'!G10)</f>
        <v>0</v>
      </c>
      <c r="H11" s="32"/>
      <c r="N11" s="32" t="e">
        <f>#REF!/#REF!*100</f>
        <v>#REF!</v>
      </c>
    </row>
    <row r="12" spans="1:14" s="213" customFormat="1" ht="33">
      <c r="A12" s="66"/>
      <c r="B12" s="1027" t="s">
        <v>714</v>
      </c>
      <c r="C12" s="34"/>
      <c r="D12" s="1026" t="s">
        <v>567</v>
      </c>
      <c r="E12" s="31"/>
      <c r="F12" s="31"/>
      <c r="G12" s="31">
        <v>0</v>
      </c>
      <c r="H12" s="31"/>
      <c r="N12" s="31"/>
    </row>
    <row r="13" spans="1:14" ht="19.5" customHeight="1">
      <c r="A13" s="1067" t="s">
        <v>80</v>
      </c>
      <c r="B13" s="1068" t="s">
        <v>715</v>
      </c>
      <c r="C13" s="1068"/>
      <c r="D13" s="1069" t="s">
        <v>636</v>
      </c>
      <c r="E13" s="215">
        <f>E11</f>
        <v>625400</v>
      </c>
      <c r="F13" s="215">
        <f>F11</f>
        <v>505580</v>
      </c>
      <c r="G13" s="215">
        <f>G11</f>
        <v>0</v>
      </c>
      <c r="H13" s="215"/>
      <c r="N13" s="215" t="e">
        <f>#REF!/#REF!*100</f>
        <v>#REF!</v>
      </c>
    </row>
    <row r="14" spans="1:14" ht="19.5" customHeight="1">
      <c r="A14" s="1067" t="s">
        <v>644</v>
      </c>
      <c r="B14" s="1068"/>
      <c r="C14" s="1068"/>
      <c r="D14" s="1069"/>
      <c r="E14" s="215">
        <f>E10+E13</f>
        <v>4717558</v>
      </c>
      <c r="F14" s="215">
        <f>F10+F13</f>
        <v>4335120</v>
      </c>
      <c r="G14" s="215">
        <f>G10+G13</f>
        <v>3589901</v>
      </c>
      <c r="H14" s="215"/>
      <c r="N14" s="215" t="e">
        <f>#REF!/#REF!*100</f>
        <v>#REF!</v>
      </c>
    </row>
    <row r="15" spans="1:14" s="213" customFormat="1" ht="16.5">
      <c r="A15" s="66"/>
      <c r="B15" s="34" t="s">
        <v>717</v>
      </c>
      <c r="C15" s="74"/>
      <c r="D15" s="35" t="s">
        <v>25</v>
      </c>
      <c r="E15" s="32">
        <v>0</v>
      </c>
      <c r="F15" s="32">
        <v>0</v>
      </c>
      <c r="G15" s="32">
        <f>SUM('2a sz.melléklet'!G13)</f>
        <v>0</v>
      </c>
      <c r="H15" s="32"/>
      <c r="N15" s="32"/>
    </row>
    <row r="16" spans="1:14" s="213" customFormat="1" ht="16.5">
      <c r="A16" s="66"/>
      <c r="B16" s="34" t="s">
        <v>718</v>
      </c>
      <c r="C16" s="74"/>
      <c r="D16" s="35" t="s">
        <v>639</v>
      </c>
      <c r="E16" s="32">
        <v>0</v>
      </c>
      <c r="F16" s="32">
        <v>4142078</v>
      </c>
      <c r="G16" s="32">
        <f>SUM('2a sz.melléklet'!G14)</f>
        <v>0</v>
      </c>
      <c r="H16" s="32"/>
      <c r="N16" s="32"/>
    </row>
    <row r="17" spans="1:14" ht="19.5" customHeight="1">
      <c r="A17" s="1067" t="s">
        <v>645</v>
      </c>
      <c r="B17" s="1068"/>
      <c r="C17" s="1068"/>
      <c r="D17" s="1069"/>
      <c r="E17" s="215">
        <f>SUM(E15:E16)</f>
        <v>0</v>
      </c>
      <c r="F17" s="215">
        <f>SUM(F15:F16)</f>
        <v>4142078</v>
      </c>
      <c r="G17" s="215">
        <f>SUM(G15:G16)</f>
        <v>0</v>
      </c>
      <c r="H17" s="215"/>
      <c r="N17" s="215"/>
    </row>
    <row r="18" spans="1:14" ht="19.5" customHeight="1">
      <c r="A18" s="1073" t="s">
        <v>459</v>
      </c>
      <c r="B18" s="1074"/>
      <c r="C18" s="1074"/>
      <c r="D18" s="1075"/>
      <c r="E18" s="216">
        <f>E14+E17</f>
        <v>4717558</v>
      </c>
      <c r="F18" s="216">
        <f>F14+F17</f>
        <v>8477198</v>
      </c>
      <c r="G18" s="216">
        <f>G14+G17</f>
        <v>3589901</v>
      </c>
      <c r="H18" s="216"/>
      <c r="I18" s="217"/>
      <c r="J18" s="217"/>
      <c r="K18" s="222"/>
      <c r="N18" s="216" t="e">
        <f>#REF!/#REF!*100</f>
        <v>#REF!</v>
      </c>
    </row>
    <row r="19" spans="1:18" ht="19.5" customHeight="1">
      <c r="A19" s="1073" t="s">
        <v>1111</v>
      </c>
      <c r="B19" s="1074"/>
      <c r="C19" s="1074"/>
      <c r="D19" s="1075"/>
      <c r="E19" s="216"/>
      <c r="F19" s="216"/>
      <c r="G19" s="216"/>
      <c r="H19" s="216"/>
      <c r="I19" s="217">
        <f>I81+I86</f>
        <v>0</v>
      </c>
      <c r="J19" s="217">
        <f>J81+J86</f>
        <v>0</v>
      </c>
      <c r="K19" s="217">
        <f>K81+K86</f>
        <v>0</v>
      </c>
      <c r="N19" s="216"/>
      <c r="Q19" s="724" t="s">
        <v>1226</v>
      </c>
      <c r="R19" s="724" t="s">
        <v>1227</v>
      </c>
    </row>
    <row r="20" spans="1:14" ht="15">
      <c r="A20" s="4"/>
      <c r="B20" s="20" t="s">
        <v>16</v>
      </c>
      <c r="C20" s="21"/>
      <c r="D20" s="22" t="s">
        <v>251</v>
      </c>
      <c r="E20" s="23">
        <v>1338643</v>
      </c>
      <c r="F20" s="23">
        <v>1415303</v>
      </c>
      <c r="G20" s="23">
        <f>SUM('2a sz.melléklet'!G19)</f>
        <v>1315683</v>
      </c>
      <c r="H20" s="23"/>
      <c r="J20" t="s">
        <v>347</v>
      </c>
      <c r="K20" s="25" t="e">
        <f>SUM(#REF!,#REF!,#REF!,#REF!,#REF!)</f>
        <v>#REF!</v>
      </c>
      <c r="L20" s="25" t="e">
        <f>SUM(#REF!,#REF!,#REF!,#REF!,#REF!)</f>
        <v>#REF!</v>
      </c>
      <c r="N20" s="23" t="e">
        <f>#REF!/#REF!*100</f>
        <v>#REF!</v>
      </c>
    </row>
    <row r="21" spans="1:16" ht="15">
      <c r="A21" s="9"/>
      <c r="B21" s="15" t="s">
        <v>17</v>
      </c>
      <c r="C21" s="16"/>
      <c r="D21" s="17" t="s">
        <v>35</v>
      </c>
      <c r="E21" s="23">
        <v>397532</v>
      </c>
      <c r="F21" s="23">
        <v>359686</v>
      </c>
      <c r="G21" s="23">
        <f>SUM('2a sz.melléklet'!G20)</f>
        <v>343474</v>
      </c>
      <c r="H21" s="23"/>
      <c r="J21" t="s">
        <v>349</v>
      </c>
      <c r="K21" s="25">
        <v>4000</v>
      </c>
      <c r="L21" s="25"/>
      <c r="M21" t="s">
        <v>350</v>
      </c>
      <c r="N21" s="18" t="e">
        <f>#REF!/#REF!*100</f>
        <v>#REF!</v>
      </c>
      <c r="P21" s="1079" t="s">
        <v>1113</v>
      </c>
    </row>
    <row r="22" spans="1:18" ht="15">
      <c r="A22" s="9"/>
      <c r="B22" s="15" t="s">
        <v>36</v>
      </c>
      <c r="C22" s="16"/>
      <c r="D22" s="17" t="s">
        <v>552</v>
      </c>
      <c r="E22" s="23">
        <v>1400390</v>
      </c>
      <c r="F22" s="23">
        <v>1516502</v>
      </c>
      <c r="G22" s="23">
        <f>SUM('2a sz.melléklet'!G21)</f>
        <v>1320085</v>
      </c>
      <c r="H22" s="23"/>
      <c r="J22" t="s">
        <v>351</v>
      </c>
      <c r="K22" s="25"/>
      <c r="L22" s="25">
        <v>30062</v>
      </c>
      <c r="N22" s="18" t="e">
        <f>#REF!/#REF!*100</f>
        <v>#REF!</v>
      </c>
      <c r="P22" s="1079"/>
      <c r="Q22" s="25">
        <f>SUM(E82-E78)</f>
        <v>5288516</v>
      </c>
      <c r="R22" s="25">
        <f>SUM(G82-G78)</f>
        <v>4047739</v>
      </c>
    </row>
    <row r="23" spans="1:16" s="115" customFormat="1" ht="14.25">
      <c r="A23" s="14"/>
      <c r="B23" s="15" t="s">
        <v>37</v>
      </c>
      <c r="C23" s="16"/>
      <c r="D23" s="17" t="s">
        <v>553</v>
      </c>
      <c r="E23" s="18">
        <v>13058</v>
      </c>
      <c r="F23" s="18">
        <v>101949</v>
      </c>
      <c r="G23" s="18">
        <f>SUM('2a sz.melléklet'!G22)</f>
        <v>68982</v>
      </c>
      <c r="H23" s="18"/>
      <c r="K23" s="190"/>
      <c r="L23" s="190"/>
      <c r="N23" s="18"/>
      <c r="P23" s="1079" t="s">
        <v>1114</v>
      </c>
    </row>
    <row r="24" spans="1:18" s="115" customFormat="1" ht="14.25">
      <c r="A24" s="14"/>
      <c r="B24" s="15" t="s">
        <v>38</v>
      </c>
      <c r="C24" s="16"/>
      <c r="D24" s="17" t="s">
        <v>1179</v>
      </c>
      <c r="E24" s="18">
        <v>0</v>
      </c>
      <c r="F24" s="18">
        <v>0</v>
      </c>
      <c r="G24" s="18">
        <f>SUM('2a sz.melléklet'!G23)</f>
        <v>0</v>
      </c>
      <c r="H24" s="18"/>
      <c r="K24" s="190"/>
      <c r="L24" s="190"/>
      <c r="N24" s="18"/>
      <c r="P24" s="1079"/>
      <c r="Q24" s="25">
        <f>SUM(E89-E85)</f>
        <v>4521028</v>
      </c>
      <c r="R24" s="25">
        <f>SUM(G89-G85)</f>
        <v>4172293</v>
      </c>
    </row>
    <row r="25" spans="1:18" s="115" customFormat="1" ht="14.25">
      <c r="A25" s="14"/>
      <c r="B25" s="15" t="s">
        <v>39</v>
      </c>
      <c r="C25" s="16"/>
      <c r="D25" s="17" t="s">
        <v>495</v>
      </c>
      <c r="E25" s="18">
        <v>191669</v>
      </c>
      <c r="F25" s="18">
        <v>147783</v>
      </c>
      <c r="G25" s="18">
        <f>SUM('2a sz.melléklet'!G24)</f>
        <v>130750</v>
      </c>
      <c r="H25" s="18"/>
      <c r="K25" s="190"/>
      <c r="L25" s="190"/>
      <c r="N25" s="18" t="e">
        <f>#REF!/#REF!*100</f>
        <v>#REF!</v>
      </c>
      <c r="P25" s="115" t="s">
        <v>616</v>
      </c>
      <c r="Q25" s="190">
        <f>SUM(Q22-Q24)</f>
        <v>767488</v>
      </c>
      <c r="R25" s="190">
        <f>SUM(R22-R24)</f>
        <v>-124554</v>
      </c>
    </row>
    <row r="26" spans="1:14" ht="15">
      <c r="A26" s="9"/>
      <c r="B26" s="15" t="s">
        <v>42</v>
      </c>
      <c r="C26" s="16"/>
      <c r="D26" s="17" t="s">
        <v>405</v>
      </c>
      <c r="E26" s="18">
        <v>117312</v>
      </c>
      <c r="F26" s="18">
        <v>137002</v>
      </c>
      <c r="G26" s="18">
        <f>SUM('2a sz.melléklet'!G25)</f>
        <v>40000</v>
      </c>
      <c r="H26" s="18"/>
      <c r="J26" t="s">
        <v>352</v>
      </c>
      <c r="K26" s="25">
        <v>51857</v>
      </c>
      <c r="L26" s="25">
        <v>51858</v>
      </c>
      <c r="N26" s="18" t="e">
        <f>#REF!/#REF!*100</f>
        <v>#REF!</v>
      </c>
    </row>
    <row r="27" spans="1:18" ht="19.5" customHeight="1">
      <c r="A27" s="1067" t="s">
        <v>1180</v>
      </c>
      <c r="B27" s="1068"/>
      <c r="C27" s="1068"/>
      <c r="D27" s="1069"/>
      <c r="E27" s="231">
        <f>SUM(E20:E26)</f>
        <v>3458604</v>
      </c>
      <c r="F27" s="231">
        <f>SUM(F20:F26)</f>
        <v>3678225</v>
      </c>
      <c r="G27" s="231">
        <f>SUM(G20:G26)</f>
        <v>3218974</v>
      </c>
      <c r="H27" s="231"/>
      <c r="N27" s="231" t="e">
        <f>#REF!/#REF!*100</f>
        <v>#REF!</v>
      </c>
      <c r="P27" s="161" t="s">
        <v>1115</v>
      </c>
      <c r="Q27" s="25">
        <f>SUM(E78)</f>
        <v>0</v>
      </c>
      <c r="R27" s="25">
        <f>SUM(G78)</f>
        <v>200000</v>
      </c>
    </row>
    <row r="28" spans="1:18" ht="15">
      <c r="A28" s="9"/>
      <c r="B28" s="15" t="s">
        <v>714</v>
      </c>
      <c r="C28" s="16"/>
      <c r="D28" s="17" t="s">
        <v>554</v>
      </c>
      <c r="E28" s="18">
        <v>0</v>
      </c>
      <c r="F28" s="18">
        <v>0</v>
      </c>
      <c r="G28" s="18">
        <f>SUM('2a sz.melléklet'!G27)</f>
        <v>114882</v>
      </c>
      <c r="H28" s="18"/>
      <c r="K28" s="25"/>
      <c r="L28" s="25"/>
      <c r="N28" s="18" t="e">
        <f>#REF!/#REF!*100</f>
        <v>#REF!</v>
      </c>
      <c r="P28" s="161" t="s">
        <v>1116</v>
      </c>
      <c r="Q28" s="25">
        <f>SUM(E85)</f>
        <v>14982</v>
      </c>
      <c r="R28" s="25">
        <f>SUM(G85)</f>
        <v>75446</v>
      </c>
    </row>
    <row r="29" spans="1:18" ht="19.5" customHeight="1">
      <c r="A29" s="1067" t="s">
        <v>509</v>
      </c>
      <c r="B29" s="1068" t="s">
        <v>715</v>
      </c>
      <c r="C29" s="1068"/>
      <c r="D29" s="1069" t="s">
        <v>636</v>
      </c>
      <c r="E29" s="215">
        <f>E28</f>
        <v>0</v>
      </c>
      <c r="F29" s="215">
        <f>F28</f>
        <v>0</v>
      </c>
      <c r="G29" s="215">
        <f>G28</f>
        <v>114882</v>
      </c>
      <c r="H29" s="215"/>
      <c r="N29" s="215" t="e">
        <f>#REF!/#REF!*100</f>
        <v>#REF!</v>
      </c>
      <c r="P29" s="115" t="s">
        <v>616</v>
      </c>
      <c r="Q29" s="25">
        <f>SUM(Q27-Q28)</f>
        <v>-14982</v>
      </c>
      <c r="R29" s="25">
        <f>SUM(R27-R28)</f>
        <v>124554</v>
      </c>
    </row>
    <row r="30" spans="1:14" ht="19.5" customHeight="1">
      <c r="A30" s="1067" t="s">
        <v>1190</v>
      </c>
      <c r="B30" s="1068"/>
      <c r="C30" s="1068"/>
      <c r="D30" s="1069"/>
      <c r="E30" s="215">
        <f>E27+E29</f>
        <v>3458604</v>
      </c>
      <c r="F30" s="215">
        <f>F27+F29</f>
        <v>3678225</v>
      </c>
      <c r="G30" s="215">
        <f>G27+G29</f>
        <v>3333856</v>
      </c>
      <c r="H30" s="215"/>
      <c r="N30" s="215" t="e">
        <f>#REF!/#REF!*100</f>
        <v>#REF!</v>
      </c>
    </row>
    <row r="31" spans="1:18" ht="15.75">
      <c r="A31" s="9"/>
      <c r="B31" s="15" t="s">
        <v>715</v>
      </c>
      <c r="C31" s="16"/>
      <c r="D31" s="17" t="s">
        <v>641</v>
      </c>
      <c r="E31" s="18">
        <v>0</v>
      </c>
      <c r="F31" s="18">
        <v>4968256</v>
      </c>
      <c r="G31" s="18">
        <f>'3.sz.melléklet'!E30</f>
        <v>0</v>
      </c>
      <c r="H31" s="18"/>
      <c r="K31" s="25"/>
      <c r="L31" s="25"/>
      <c r="N31" s="18"/>
      <c r="P31" s="318" t="s">
        <v>15</v>
      </c>
      <c r="Q31" s="319">
        <f>SUM(E18)</f>
        <v>4717558</v>
      </c>
      <c r="R31" s="319">
        <f>SUM(G18)</f>
        <v>3589901</v>
      </c>
    </row>
    <row r="32" spans="1:18" ht="16.5" thickBot="1">
      <c r="A32" s="9"/>
      <c r="B32" s="15" t="s">
        <v>716</v>
      </c>
      <c r="C32" s="16"/>
      <c r="D32" s="17" t="s">
        <v>564</v>
      </c>
      <c r="E32" s="18">
        <v>0</v>
      </c>
      <c r="F32" s="18">
        <v>0</v>
      </c>
      <c r="G32" s="18">
        <f>'3.sz.melléklet'!E31</f>
        <v>0</v>
      </c>
      <c r="H32" s="18"/>
      <c r="K32" s="25"/>
      <c r="L32" s="25"/>
      <c r="N32" s="18" t="e">
        <f>#REF!/#REF!*100</f>
        <v>#REF!</v>
      </c>
      <c r="P32" s="318" t="s">
        <v>33</v>
      </c>
      <c r="Q32" s="319">
        <f>SUM(E34)</f>
        <v>3458604</v>
      </c>
      <c r="R32" s="319">
        <f>SUM(G34)</f>
        <v>3333856</v>
      </c>
    </row>
    <row r="33" spans="1:18" ht="19.5" customHeight="1" thickBot="1" thickTop="1">
      <c r="A33" s="1067" t="s">
        <v>510</v>
      </c>
      <c r="B33" s="1068"/>
      <c r="C33" s="1068"/>
      <c r="D33" s="1069"/>
      <c r="E33" s="215">
        <f>E31+E32</f>
        <v>0</v>
      </c>
      <c r="F33" s="215">
        <f>F31+F32</f>
        <v>4968256</v>
      </c>
      <c r="G33" s="215">
        <f>G31+G32</f>
        <v>0</v>
      </c>
      <c r="H33" s="215"/>
      <c r="N33" s="215" t="e">
        <f>#REF!/#REF!*100</f>
        <v>#REF!</v>
      </c>
      <c r="P33" s="320" t="s">
        <v>1060</v>
      </c>
      <c r="Q33" s="321">
        <f>SUM(Q31-Q32)</f>
        <v>1258954</v>
      </c>
      <c r="R33" s="321">
        <f>SUM(R31-R32)</f>
        <v>256045</v>
      </c>
    </row>
    <row r="34" spans="1:18" ht="19.5" customHeight="1" thickTop="1">
      <c r="A34" s="1073" t="s">
        <v>460</v>
      </c>
      <c r="B34" s="1074"/>
      <c r="C34" s="1074"/>
      <c r="D34" s="1075"/>
      <c r="E34" s="230">
        <f>E33+E30</f>
        <v>3458604</v>
      </c>
      <c r="F34" s="230">
        <f>F33+F30</f>
        <v>8646481</v>
      </c>
      <c r="G34" s="230">
        <f>G33+G30</f>
        <v>3333856</v>
      </c>
      <c r="H34" s="230"/>
      <c r="I34" s="217"/>
      <c r="J34" s="217"/>
      <c r="K34" s="217"/>
      <c r="N34" s="230" t="e">
        <f>#REF!/#REF!*100</f>
        <v>#REF!</v>
      </c>
      <c r="P34" s="318"/>
      <c r="Q34" s="319"/>
      <c r="R34" s="319"/>
    </row>
    <row r="35" spans="1:18" ht="16.5">
      <c r="A35" s="1070" t="s">
        <v>489</v>
      </c>
      <c r="B35" s="1071"/>
      <c r="C35" s="1071"/>
      <c r="D35" s="1072"/>
      <c r="E35" s="235"/>
      <c r="F35" s="235"/>
      <c r="G35" s="235"/>
      <c r="H35" s="235"/>
      <c r="N35" s="235"/>
      <c r="P35" s="318" t="s">
        <v>1061</v>
      </c>
      <c r="Q35" s="319">
        <f>SUM(E50)</f>
        <v>584440</v>
      </c>
      <c r="R35" s="319">
        <f>SUM(G50)</f>
        <v>657838</v>
      </c>
    </row>
    <row r="36" spans="1:18" ht="17.25" thickBot="1">
      <c r="A36" s="226" t="s">
        <v>490</v>
      </c>
      <c r="B36" s="227"/>
      <c r="C36" s="228"/>
      <c r="D36" s="229"/>
      <c r="E36" s="230"/>
      <c r="F36" s="230"/>
      <c r="G36" s="230"/>
      <c r="H36" s="230"/>
      <c r="N36" s="230"/>
      <c r="P36" s="318" t="s">
        <v>1062</v>
      </c>
      <c r="Q36" s="319">
        <f>SUM(E74)</f>
        <v>1088947</v>
      </c>
      <c r="R36" s="319">
        <f>SUM(G74)</f>
        <v>913883</v>
      </c>
    </row>
    <row r="37" spans="1:18" ht="18" thickBot="1" thickTop="1">
      <c r="A37" s="224"/>
      <c r="B37" s="34" t="s">
        <v>20</v>
      </c>
      <c r="C37" s="74"/>
      <c r="D37" s="35" t="s">
        <v>1183</v>
      </c>
      <c r="E37" s="32">
        <v>77898</v>
      </c>
      <c r="F37" s="32">
        <v>59390</v>
      </c>
      <c r="G37" s="32">
        <f>SUM('2b.sz.melléklet'!G3)</f>
        <v>353838</v>
      </c>
      <c r="H37" s="32"/>
      <c r="N37" s="32" t="e">
        <f>#REF!/#REF!*100</f>
        <v>#REF!</v>
      </c>
      <c r="P37" s="320" t="s">
        <v>1063</v>
      </c>
      <c r="Q37" s="321">
        <f>SUM(Q35-Q36)</f>
        <v>-504507</v>
      </c>
      <c r="R37" s="321">
        <f>SUM(R35-R36)</f>
        <v>-256045</v>
      </c>
    </row>
    <row r="38" spans="1:18" ht="18" thickBot="1" thickTop="1">
      <c r="A38" s="224"/>
      <c r="B38" s="34" t="s">
        <v>44</v>
      </c>
      <c r="C38" s="74"/>
      <c r="D38" s="35" t="s">
        <v>538</v>
      </c>
      <c r="E38" s="32">
        <v>500</v>
      </c>
      <c r="F38" s="32">
        <v>7530</v>
      </c>
      <c r="G38" s="32">
        <f>SUM('2b.sz.melléklet'!G4)</f>
        <v>0</v>
      </c>
      <c r="H38" s="32"/>
      <c r="N38" s="32" t="e">
        <f>#REF!/#REF!*100</f>
        <v>#REF!</v>
      </c>
      <c r="P38" s="318"/>
      <c r="Q38" s="319"/>
      <c r="R38" s="319"/>
    </row>
    <row r="39" spans="1:18" ht="18" thickBot="1" thickTop="1">
      <c r="A39" s="224"/>
      <c r="B39" s="34" t="s">
        <v>45</v>
      </c>
      <c r="C39" s="74"/>
      <c r="D39" s="35" t="s">
        <v>370</v>
      </c>
      <c r="E39" s="32">
        <v>301301</v>
      </c>
      <c r="F39" s="32">
        <v>248036</v>
      </c>
      <c r="G39" s="32">
        <f>SUM('2b.sz.melléklet'!G5)</f>
        <v>1000</v>
      </c>
      <c r="H39" s="32"/>
      <c r="N39" s="32" t="e">
        <f>#REF!/#REF!*100</f>
        <v>#REF!</v>
      </c>
      <c r="P39" s="322" t="s">
        <v>616</v>
      </c>
      <c r="Q39" s="323">
        <f>SUM(Q33+Q37)</f>
        <v>754447</v>
      </c>
      <c r="R39" s="323">
        <f>SUM(R33+R37)</f>
        <v>0</v>
      </c>
    </row>
    <row r="40" spans="1:14" ht="17.25" thickTop="1">
      <c r="A40" s="224"/>
      <c r="B40" s="34" t="s">
        <v>49</v>
      </c>
      <c r="C40" s="74"/>
      <c r="D40" s="35" t="s">
        <v>1184</v>
      </c>
      <c r="E40" s="32">
        <v>6963</v>
      </c>
      <c r="F40" s="32">
        <v>6143</v>
      </c>
      <c r="G40" s="32">
        <f>SUM('2b.sz.melléklet'!G6)</f>
        <v>3000</v>
      </c>
      <c r="H40" s="32"/>
      <c r="N40" s="32" t="e">
        <f>#REF!/#REF!*100</f>
        <v>#REF!</v>
      </c>
    </row>
    <row r="41" spans="1:14" ht="16.5">
      <c r="A41" s="1067" t="s">
        <v>1185</v>
      </c>
      <c r="B41" s="1068"/>
      <c r="C41" s="1068"/>
      <c r="D41" s="1069" t="s">
        <v>27</v>
      </c>
      <c r="E41" s="215">
        <f>SUM(E37:E40)</f>
        <v>386662</v>
      </c>
      <c r="F41" s="215">
        <f>SUM(F37:F40)</f>
        <v>321099</v>
      </c>
      <c r="G41" s="215">
        <f>SUM(G37:G40)</f>
        <v>357838</v>
      </c>
      <c r="H41" s="215"/>
      <c r="N41" s="215" t="e">
        <f>#REF!/#REF!*100</f>
        <v>#REF!</v>
      </c>
    </row>
    <row r="42" spans="1:18" ht="16.5">
      <c r="A42" s="66"/>
      <c r="B42" s="34" t="s">
        <v>50</v>
      </c>
      <c r="C42" s="74"/>
      <c r="D42" s="35" t="s">
        <v>394</v>
      </c>
      <c r="E42" s="32">
        <v>197778</v>
      </c>
      <c r="F42" s="32">
        <v>248868</v>
      </c>
      <c r="G42" s="32"/>
      <c r="H42" s="32"/>
      <c r="N42" s="32"/>
      <c r="Q42" s="25"/>
      <c r="R42" s="25"/>
    </row>
    <row r="43" spans="1:18" ht="33">
      <c r="A43" s="66"/>
      <c r="B43" s="34" t="s">
        <v>51</v>
      </c>
      <c r="C43" s="34"/>
      <c r="D43" s="1026" t="s">
        <v>568</v>
      </c>
      <c r="E43" s="31"/>
      <c r="F43" s="31"/>
      <c r="G43" s="31">
        <v>100000</v>
      </c>
      <c r="H43" s="31"/>
      <c r="N43" s="31"/>
      <c r="Q43" s="25"/>
      <c r="R43" s="25"/>
    </row>
    <row r="44" spans="1:18" ht="16.5">
      <c r="A44" s="1067" t="s">
        <v>81</v>
      </c>
      <c r="B44" s="1068" t="s">
        <v>715</v>
      </c>
      <c r="C44" s="1068"/>
      <c r="D44" s="1069" t="s">
        <v>636</v>
      </c>
      <c r="E44" s="215">
        <f>E42</f>
        <v>197778</v>
      </c>
      <c r="F44" s="215">
        <f>F42</f>
        <v>248868</v>
      </c>
      <c r="G44" s="215">
        <f>SUM(G43)</f>
        <v>100000</v>
      </c>
      <c r="H44" s="215"/>
      <c r="I44" s="25" t="e">
        <f>SUM(I46-I45)</f>
        <v>#REF!</v>
      </c>
      <c r="N44" s="215"/>
      <c r="Q44" s="25"/>
      <c r="R44" s="25"/>
    </row>
    <row r="45" spans="1:14" ht="16.5">
      <c r="A45" s="1067" t="s">
        <v>396</v>
      </c>
      <c r="B45" s="1068"/>
      <c r="C45" s="1068"/>
      <c r="D45" s="1069"/>
      <c r="E45" s="215">
        <f>E41+E44</f>
        <v>584440</v>
      </c>
      <c r="F45" s="215">
        <f>F41+F44</f>
        <v>569967</v>
      </c>
      <c r="G45" s="215">
        <f>G41+G44</f>
        <v>457838</v>
      </c>
      <c r="H45" s="215"/>
      <c r="I45">
        <v>3130462</v>
      </c>
      <c r="N45" s="215" t="e">
        <f>#REF!/#REF!*100</f>
        <v>#REF!</v>
      </c>
    </row>
    <row r="46" spans="1:14" ht="16.5">
      <c r="A46" s="66"/>
      <c r="B46" s="34" t="s">
        <v>308</v>
      </c>
      <c r="C46" s="74"/>
      <c r="D46" s="35" t="s">
        <v>398</v>
      </c>
      <c r="E46" s="32">
        <f>E47+E48</f>
        <v>0</v>
      </c>
      <c r="F46" s="32">
        <f>F47+F48</f>
        <v>0</v>
      </c>
      <c r="G46" s="32">
        <f>G47+G48</f>
        <v>200000</v>
      </c>
      <c r="H46" s="32"/>
      <c r="I46" s="25" t="e">
        <f>SUM(#REF!,'[1]2a sz.melléklet'!#REF!,'[1]cigány 1e sz. mell'!#REF!,'[1]német 1d.sz. mell. '!#REF!)</f>
        <v>#REF!</v>
      </c>
      <c r="J46" s="25" t="e">
        <f>SUM(#REF!,'[1]2a sz.melléklet'!F85,'[1]cigány 1e sz. mell'!F50,'[1]német 1d.sz. mell. '!F50)</f>
        <v>#REF!</v>
      </c>
      <c r="N46" s="32" t="e">
        <f>#REF!/#REF!*100</f>
        <v>#REF!</v>
      </c>
    </row>
    <row r="47" spans="1:14" s="52" customFormat="1" ht="15">
      <c r="A47" s="50"/>
      <c r="B47" s="158" t="s">
        <v>700</v>
      </c>
      <c r="C47" s="43"/>
      <c r="D47" s="44" t="s">
        <v>79</v>
      </c>
      <c r="E47" s="45">
        <v>0</v>
      </c>
      <c r="F47" s="45">
        <v>0</v>
      </c>
      <c r="G47" s="45">
        <f>SUM('2b.sz.melléklet'!G12)</f>
        <v>200000</v>
      </c>
      <c r="H47" s="45"/>
      <c r="N47" s="45" t="e">
        <f>#REF!/#REF!*100</f>
        <v>#REF!</v>
      </c>
    </row>
    <row r="48" spans="1:14" s="52" customFormat="1" ht="15">
      <c r="A48" s="50"/>
      <c r="B48" s="158" t="s">
        <v>399</v>
      </c>
      <c r="C48" s="43"/>
      <c r="D48" s="44" t="s">
        <v>400</v>
      </c>
      <c r="E48" s="45">
        <v>0</v>
      </c>
      <c r="F48" s="45">
        <v>0</v>
      </c>
      <c r="G48" s="45">
        <f>SUM('2b.sz.melléklet'!G13)</f>
        <v>0</v>
      </c>
      <c r="H48" s="45"/>
      <c r="N48" s="45"/>
    </row>
    <row r="49" spans="1:14" ht="16.5">
      <c r="A49" s="1067" t="s">
        <v>401</v>
      </c>
      <c r="B49" s="1068"/>
      <c r="C49" s="1068"/>
      <c r="D49" s="1069"/>
      <c r="E49" s="215">
        <f>E46</f>
        <v>0</v>
      </c>
      <c r="F49" s="215">
        <f>F46</f>
        <v>0</v>
      </c>
      <c r="G49" s="215">
        <f>G46</f>
        <v>200000</v>
      </c>
      <c r="H49" s="215"/>
      <c r="I49" s="25"/>
      <c r="J49" s="25"/>
      <c r="N49" s="215" t="e">
        <f>#REF!/#REF!*100</f>
        <v>#REF!</v>
      </c>
    </row>
    <row r="50" spans="1:14" ht="19.5" customHeight="1">
      <c r="A50" s="1073" t="s">
        <v>527</v>
      </c>
      <c r="B50" s="1074"/>
      <c r="C50" s="1074"/>
      <c r="D50" s="1075"/>
      <c r="E50" s="216">
        <f>E49+E45</f>
        <v>584440</v>
      </c>
      <c r="F50" s="216">
        <f>F49+F45</f>
        <v>569967</v>
      </c>
      <c r="G50" s="216">
        <f>G49+G45</f>
        <v>657838</v>
      </c>
      <c r="H50" s="216"/>
      <c r="N50" s="216" t="e">
        <f>#REF!/#REF!*100</f>
        <v>#REF!</v>
      </c>
    </row>
    <row r="51" spans="1:14" ht="19.5" customHeight="1">
      <c r="A51" s="226" t="s">
        <v>526</v>
      </c>
      <c r="B51" s="227"/>
      <c r="C51" s="228"/>
      <c r="D51" s="229"/>
      <c r="E51" s="230"/>
      <c r="F51" s="230"/>
      <c r="G51" s="230"/>
      <c r="H51" s="230"/>
      <c r="I51" s="217"/>
      <c r="J51" s="217"/>
      <c r="K51" s="217"/>
      <c r="N51" s="230"/>
    </row>
    <row r="52" spans="1:14" s="213" customFormat="1" ht="16.5">
      <c r="A52" s="224"/>
      <c r="B52" s="34"/>
      <c r="C52" s="74" t="s">
        <v>20</v>
      </c>
      <c r="D52" s="35" t="s">
        <v>53</v>
      </c>
      <c r="E52" s="32">
        <f>SUM(E53:E57)</f>
        <v>86557</v>
      </c>
      <c r="F52" s="32">
        <f>SUM(F53:F57)</f>
        <v>218646</v>
      </c>
      <c r="G52" s="32">
        <f>SUM(G53:G57)</f>
        <v>0</v>
      </c>
      <c r="H52" s="32"/>
      <c r="N52" s="32"/>
    </row>
    <row r="53" spans="1:14" ht="15">
      <c r="A53" s="122"/>
      <c r="B53" s="123"/>
      <c r="C53" s="56" t="s">
        <v>144</v>
      </c>
      <c r="D53" s="120" t="s">
        <v>528</v>
      </c>
      <c r="E53" s="95">
        <v>48822</v>
      </c>
      <c r="F53" s="95">
        <v>176888</v>
      </c>
      <c r="G53" s="95">
        <v>0</v>
      </c>
      <c r="H53" s="95"/>
      <c r="K53" s="25"/>
      <c r="N53" s="95"/>
    </row>
    <row r="54" spans="1:14" ht="15">
      <c r="A54" s="122"/>
      <c r="B54" s="123"/>
      <c r="C54" s="56" t="s">
        <v>186</v>
      </c>
      <c r="D54" s="120" t="s">
        <v>4</v>
      </c>
      <c r="E54" s="95">
        <v>17534</v>
      </c>
      <c r="F54" s="95">
        <v>2639</v>
      </c>
      <c r="G54" s="95">
        <v>0</v>
      </c>
      <c r="H54" s="95"/>
      <c r="I54" t="e">
        <f>SUM('[1]5.sz.mell.'!P81+'[1]6.sz.mell.'!I77)</f>
        <v>#REF!</v>
      </c>
      <c r="K54" s="25"/>
      <c r="N54" s="95"/>
    </row>
    <row r="55" spans="1:14" ht="15">
      <c r="A55" s="122"/>
      <c r="B55" s="123"/>
      <c r="C55" s="56" t="s">
        <v>145</v>
      </c>
      <c r="D55" s="120" t="s">
        <v>1186</v>
      </c>
      <c r="E55" s="95">
        <v>0</v>
      </c>
      <c r="F55" s="95">
        <v>0</v>
      </c>
      <c r="G55" s="95">
        <v>0</v>
      </c>
      <c r="H55" s="95"/>
      <c r="K55" s="25"/>
      <c r="N55" s="95"/>
    </row>
    <row r="56" spans="1:14" ht="15">
      <c r="A56" s="122"/>
      <c r="B56" s="123"/>
      <c r="C56" s="56" t="s">
        <v>179</v>
      </c>
      <c r="D56" s="120" t="s">
        <v>530</v>
      </c>
      <c r="E56" s="95">
        <v>20201</v>
      </c>
      <c r="F56" s="95">
        <v>39119</v>
      </c>
      <c r="G56" s="95">
        <v>0</v>
      </c>
      <c r="H56" s="95"/>
      <c r="K56" s="25"/>
      <c r="N56" s="95"/>
    </row>
    <row r="57" spans="1:14" ht="15">
      <c r="A57" s="122"/>
      <c r="B57" s="123"/>
      <c r="C57" s="56" t="s">
        <v>180</v>
      </c>
      <c r="D57" s="120" t="s">
        <v>1187</v>
      </c>
      <c r="E57" s="95">
        <v>0</v>
      </c>
      <c r="F57" s="95">
        <v>0</v>
      </c>
      <c r="G57" s="95">
        <v>0</v>
      </c>
      <c r="H57" s="95"/>
      <c r="K57" s="25"/>
      <c r="N57" s="95"/>
    </row>
    <row r="58" spans="1:18" s="213" customFormat="1" ht="16.5">
      <c r="A58" s="224"/>
      <c r="B58" s="34"/>
      <c r="C58" s="74" t="s">
        <v>44</v>
      </c>
      <c r="D58" s="35" t="s">
        <v>52</v>
      </c>
      <c r="E58" s="32">
        <f>SUM(E59:E63)</f>
        <v>955993</v>
      </c>
      <c r="F58" s="32">
        <f>SUM(F59:F63)</f>
        <v>357854</v>
      </c>
      <c r="G58" s="32">
        <f>SUM('2b.sz.melléklet'!G23)</f>
        <v>50100</v>
      </c>
      <c r="H58" s="32"/>
      <c r="N58" s="32"/>
      <c r="P58" s="270">
        <f>SUM(E52+E58)</f>
        <v>1042550</v>
      </c>
      <c r="Q58" s="270"/>
      <c r="R58" s="270"/>
    </row>
    <row r="59" spans="1:14" ht="15">
      <c r="A59" s="122"/>
      <c r="B59" s="123"/>
      <c r="C59" s="56" t="s">
        <v>531</v>
      </c>
      <c r="D59" s="120" t="s">
        <v>529</v>
      </c>
      <c r="E59" s="95">
        <v>86345</v>
      </c>
      <c r="F59" s="95">
        <v>71056</v>
      </c>
      <c r="G59" s="95">
        <f>'2b.sz.melléklet'!G24</f>
        <v>23120</v>
      </c>
      <c r="H59" s="95"/>
      <c r="K59" s="25"/>
      <c r="N59" s="95"/>
    </row>
    <row r="60" spans="1:14" ht="15">
      <c r="A60" s="122"/>
      <c r="B60" s="123"/>
      <c r="C60" s="56" t="s">
        <v>532</v>
      </c>
      <c r="D60" s="120" t="s">
        <v>533</v>
      </c>
      <c r="E60" s="95">
        <v>705766</v>
      </c>
      <c r="F60" s="95">
        <v>215827</v>
      </c>
      <c r="G60" s="95">
        <f>SUM('2b.sz.melléklet'!G25)</f>
        <v>16960</v>
      </c>
      <c r="H60" s="95"/>
      <c r="I60" t="e">
        <f>SUM('[1]5.sz.mell.'!P85+'[1]6.sz.mell.'!I81)</f>
        <v>#REF!</v>
      </c>
      <c r="K60" s="25"/>
      <c r="N60" s="95"/>
    </row>
    <row r="61" spans="1:14" ht="15">
      <c r="A61" s="122"/>
      <c r="B61" s="123"/>
      <c r="C61" s="56" t="s">
        <v>1434</v>
      </c>
      <c r="D61" s="120" t="s">
        <v>1188</v>
      </c>
      <c r="E61" s="95">
        <v>125</v>
      </c>
      <c r="F61" s="95">
        <v>0</v>
      </c>
      <c r="G61" s="95">
        <v>0</v>
      </c>
      <c r="H61" s="95"/>
      <c r="K61" s="25"/>
      <c r="N61" s="95"/>
    </row>
    <row r="62" spans="1:16" ht="15">
      <c r="A62" s="122"/>
      <c r="B62" s="123"/>
      <c r="C62" s="56" t="s">
        <v>503</v>
      </c>
      <c r="D62" s="120" t="s">
        <v>534</v>
      </c>
      <c r="E62" s="95">
        <v>163732</v>
      </c>
      <c r="F62" s="95">
        <v>70971</v>
      </c>
      <c r="G62" s="95">
        <f>SUM('2b.sz.melléklet'!G27)</f>
        <v>10020</v>
      </c>
      <c r="H62" s="95"/>
      <c r="K62" s="25"/>
      <c r="N62" s="95"/>
      <c r="P62" s="25"/>
    </row>
    <row r="63" spans="1:14" ht="15">
      <c r="A63" s="122"/>
      <c r="B63" s="123"/>
      <c r="C63" s="56" t="s">
        <v>504</v>
      </c>
      <c r="D63" s="120" t="s">
        <v>1189</v>
      </c>
      <c r="E63" s="95">
        <v>25</v>
      </c>
      <c r="F63" s="95">
        <v>0</v>
      </c>
      <c r="G63" s="95">
        <v>0</v>
      </c>
      <c r="H63" s="95"/>
      <c r="K63" s="25"/>
      <c r="N63" s="95"/>
    </row>
    <row r="64" spans="1:14" s="213" customFormat="1" ht="16.5">
      <c r="A64" s="224"/>
      <c r="B64" s="34"/>
      <c r="C64" s="74" t="s">
        <v>45</v>
      </c>
      <c r="D64" s="35" t="s">
        <v>650</v>
      </c>
      <c r="E64" s="32">
        <v>2500</v>
      </c>
      <c r="F64" s="32">
        <v>0</v>
      </c>
      <c r="G64" s="32">
        <f>'3.sz.melléklet'!E58</f>
        <v>0</v>
      </c>
      <c r="H64" s="32"/>
      <c r="N64" s="32"/>
    </row>
    <row r="65" spans="1:14" s="213" customFormat="1" ht="16.5">
      <c r="A65" s="224"/>
      <c r="B65" s="34"/>
      <c r="C65" s="74" t="s">
        <v>49</v>
      </c>
      <c r="D65" s="35" t="s">
        <v>553</v>
      </c>
      <c r="E65" s="32">
        <v>500</v>
      </c>
      <c r="F65" s="32">
        <v>7530</v>
      </c>
      <c r="G65" s="32">
        <f>'3.sz.melléklet'!E59</f>
        <v>0</v>
      </c>
      <c r="H65" s="32"/>
      <c r="N65" s="32"/>
    </row>
    <row r="66" spans="1:14" s="213" customFormat="1" ht="16.5">
      <c r="A66" s="224"/>
      <c r="B66" s="34"/>
      <c r="C66" s="74" t="s">
        <v>50</v>
      </c>
      <c r="D66" s="35" t="s">
        <v>495</v>
      </c>
      <c r="E66" s="32">
        <v>27415</v>
      </c>
      <c r="F66" s="32">
        <v>9119</v>
      </c>
      <c r="G66" s="32">
        <f>SUM('2b.sz.melléklet'!G31)</f>
        <v>50621</v>
      </c>
      <c r="H66" s="32"/>
      <c r="N66" s="32"/>
    </row>
    <row r="67" spans="1:14" s="213" customFormat="1" ht="16.5">
      <c r="A67" s="224"/>
      <c r="B67" s="34"/>
      <c r="C67" s="74" t="s">
        <v>51</v>
      </c>
      <c r="D67" s="35" t="s">
        <v>651</v>
      </c>
      <c r="E67" s="32">
        <v>1000</v>
      </c>
      <c r="F67" s="32">
        <v>150</v>
      </c>
      <c r="G67" s="32">
        <f>SUM('2b.sz.melléklet'!G32)</f>
        <v>0</v>
      </c>
      <c r="H67" s="32"/>
      <c r="N67" s="32"/>
    </row>
    <row r="68" spans="1:14" ht="19.5" customHeight="1">
      <c r="A68" s="1067" t="s">
        <v>519</v>
      </c>
      <c r="B68" s="1068"/>
      <c r="C68" s="1068"/>
      <c r="D68" s="1069" t="s">
        <v>27</v>
      </c>
      <c r="E68" s="215">
        <f>E52+E58+E64+E65+E66+E67</f>
        <v>1073965</v>
      </c>
      <c r="F68" s="215">
        <f>F52+F58+F64+F65+F66+F67</f>
        <v>593299</v>
      </c>
      <c r="G68" s="215">
        <f>G52+G58+G64+G65+G66+G67</f>
        <v>100721</v>
      </c>
      <c r="H68" s="215"/>
      <c r="N68" s="215"/>
    </row>
    <row r="69" spans="1:14" s="213" customFormat="1" ht="16.5">
      <c r="A69" s="224"/>
      <c r="B69" s="34"/>
      <c r="C69" s="74" t="s">
        <v>259</v>
      </c>
      <c r="D69" s="35" t="s">
        <v>554</v>
      </c>
      <c r="E69" s="32">
        <v>0</v>
      </c>
      <c r="F69" s="32">
        <v>0</v>
      </c>
      <c r="G69" s="32">
        <f>SUM('2b.sz.melléklet'!G34)</f>
        <v>737716</v>
      </c>
      <c r="H69" s="32"/>
      <c r="N69" s="32" t="e">
        <f>#REF!/#REF!*100</f>
        <v>#REF!</v>
      </c>
    </row>
    <row r="70" spans="1:14" ht="19.5" customHeight="1">
      <c r="A70" s="1067" t="s">
        <v>520</v>
      </c>
      <c r="B70" s="1068" t="s">
        <v>715</v>
      </c>
      <c r="C70" s="1068"/>
      <c r="D70" s="1069" t="s">
        <v>636</v>
      </c>
      <c r="E70" s="215">
        <f>E69</f>
        <v>0</v>
      </c>
      <c r="F70" s="215">
        <f>F69</f>
        <v>0</v>
      </c>
      <c r="G70" s="215">
        <f>G69</f>
        <v>737716</v>
      </c>
      <c r="H70" s="215"/>
      <c r="N70" s="215" t="e">
        <f>#REF!/#REF!*100</f>
        <v>#REF!</v>
      </c>
    </row>
    <row r="71" spans="1:14" ht="19.5" customHeight="1">
      <c r="A71" s="1067" t="s">
        <v>521</v>
      </c>
      <c r="B71" s="1068"/>
      <c r="C71" s="1068"/>
      <c r="D71" s="1069"/>
      <c r="E71" s="215">
        <f>E68+E70</f>
        <v>1073965</v>
      </c>
      <c r="F71" s="215">
        <f>F68+F70</f>
        <v>593299</v>
      </c>
      <c r="G71" s="215">
        <f>G68+G70</f>
        <v>838437</v>
      </c>
      <c r="H71" s="215"/>
      <c r="N71" s="215" t="e">
        <f>#REF!/#REF!*100</f>
        <v>#REF!</v>
      </c>
    </row>
    <row r="72" spans="1:14" s="213" customFormat="1" ht="16.5">
      <c r="A72" s="224"/>
      <c r="B72" s="34"/>
      <c r="C72" s="74" t="s">
        <v>308</v>
      </c>
      <c r="D72" s="35" t="s">
        <v>652</v>
      </c>
      <c r="E72" s="32">
        <v>14982</v>
      </c>
      <c r="F72" s="32">
        <v>65278</v>
      </c>
      <c r="G72" s="32">
        <f>SUM('2b.sz.melléklet'!G37)</f>
        <v>75446</v>
      </c>
      <c r="H72" s="32"/>
      <c r="N72" s="32" t="e">
        <f>#REF!/#REF!*100</f>
        <v>#REF!</v>
      </c>
    </row>
    <row r="73" spans="1:14" ht="19.5" customHeight="1">
      <c r="A73" s="1067" t="s">
        <v>523</v>
      </c>
      <c r="B73" s="1068"/>
      <c r="C73" s="1068"/>
      <c r="D73" s="1069"/>
      <c r="E73" s="215">
        <f>E72</f>
        <v>14982</v>
      </c>
      <c r="F73" s="215">
        <f>F72</f>
        <v>65278</v>
      </c>
      <c r="G73" s="215">
        <f>G72</f>
        <v>75446</v>
      </c>
      <c r="H73" s="215"/>
      <c r="N73" s="215" t="e">
        <f>#REF!/#REF!*100</f>
        <v>#REF!</v>
      </c>
    </row>
    <row r="74" spans="1:14" ht="19.5" customHeight="1">
      <c r="A74" s="1073" t="s">
        <v>535</v>
      </c>
      <c r="B74" s="1074"/>
      <c r="C74" s="1074"/>
      <c r="D74" s="1075"/>
      <c r="E74" s="216">
        <f>E71+E73</f>
        <v>1088947</v>
      </c>
      <c r="F74" s="216">
        <f>F71+F73</f>
        <v>658577</v>
      </c>
      <c r="G74" s="216">
        <f>G71+G73</f>
        <v>913883</v>
      </c>
      <c r="H74" s="216"/>
      <c r="I74" s="217"/>
      <c r="J74" s="217"/>
      <c r="K74" s="217"/>
      <c r="N74" s="216" t="e">
        <f>#REF!/#REF!*100</f>
        <v>#REF!</v>
      </c>
    </row>
    <row r="75" spans="1:8" ht="16.5">
      <c r="A75" s="1051"/>
      <c r="H75" s="32"/>
    </row>
    <row r="76" spans="1:14" s="213" customFormat="1" ht="16.5">
      <c r="A76" s="224"/>
      <c r="B76" s="34"/>
      <c r="C76" s="1064" t="s">
        <v>492</v>
      </c>
      <c r="D76" s="1058"/>
      <c r="E76" s="32">
        <f>E10+E41</f>
        <v>4478820</v>
      </c>
      <c r="F76" s="32">
        <f>F10+F41</f>
        <v>4150639</v>
      </c>
      <c r="G76" s="32">
        <f>G10+G41</f>
        <v>3947739</v>
      </c>
      <c r="H76" s="32"/>
      <c r="N76" s="32" t="e">
        <f>#REF!/#REF!*100</f>
        <v>#REF!</v>
      </c>
    </row>
    <row r="77" spans="1:14" s="213" customFormat="1" ht="16.5">
      <c r="A77" s="224"/>
      <c r="B77" s="34"/>
      <c r="C77" s="1065" t="s">
        <v>493</v>
      </c>
      <c r="D77" s="1066"/>
      <c r="E77" s="32">
        <f>E13+E44</f>
        <v>823178</v>
      </c>
      <c r="F77" s="32">
        <f>F13+F44</f>
        <v>754448</v>
      </c>
      <c r="G77" s="32">
        <f>G13+G44</f>
        <v>100000</v>
      </c>
      <c r="H77" s="32"/>
      <c r="N77" s="32" t="e">
        <f>#REF!/#REF!*100</f>
        <v>#REF!</v>
      </c>
    </row>
    <row r="78" spans="1:14" s="213" customFormat="1" ht="16.5">
      <c r="A78" s="224"/>
      <c r="B78" s="34"/>
      <c r="C78" s="1064" t="s">
        <v>494</v>
      </c>
      <c r="D78" s="1058"/>
      <c r="E78" s="32">
        <f>E17+E49</f>
        <v>0</v>
      </c>
      <c r="F78" s="32">
        <f>F17+F49</f>
        <v>4142078</v>
      </c>
      <c r="G78" s="32">
        <f>G17+G49</f>
        <v>200000</v>
      </c>
      <c r="H78" s="32"/>
      <c r="N78" s="32" t="e">
        <f>#REF!/#REF!*100</f>
        <v>#REF!</v>
      </c>
    </row>
    <row r="79" spans="1:14" s="213" customFormat="1" ht="16.5">
      <c r="A79" s="224"/>
      <c r="B79" s="34"/>
      <c r="C79" s="1064" t="s">
        <v>541</v>
      </c>
      <c r="D79" s="1058"/>
      <c r="E79" s="32">
        <v>-13482</v>
      </c>
      <c r="F79" s="32">
        <v>-48116</v>
      </c>
      <c r="G79" s="32">
        <f>'3asz.melléklet'!E133</f>
        <v>0</v>
      </c>
      <c r="H79" s="32"/>
      <c r="N79" s="32"/>
    </row>
    <row r="80" spans="1:14" ht="19.5" customHeight="1">
      <c r="A80" s="1073" t="s">
        <v>542</v>
      </c>
      <c r="B80" s="1074"/>
      <c r="C80" s="1074"/>
      <c r="D80" s="1075"/>
      <c r="E80" s="216">
        <f>SUM(E76:E79)</f>
        <v>5288516</v>
      </c>
      <c r="F80" s="216">
        <f>SUM(F76:F79)</f>
        <v>8999049</v>
      </c>
      <c r="G80" s="216">
        <f>SUM(G76:G79)</f>
        <v>4247739</v>
      </c>
      <c r="H80" s="216"/>
      <c r="I80" s="217"/>
      <c r="J80" s="217"/>
      <c r="K80" s="217"/>
      <c r="N80" s="216" t="e">
        <f>#REF!/#REF!*100</f>
        <v>#REF!</v>
      </c>
    </row>
    <row r="81" spans="1:14" s="213" customFormat="1" ht="16.5">
      <c r="A81" s="224"/>
      <c r="B81" s="34"/>
      <c r="C81" s="1064"/>
      <c r="D81" s="1058"/>
      <c r="E81" s="32"/>
      <c r="F81" s="32"/>
      <c r="G81" s="32"/>
      <c r="H81" s="32"/>
      <c r="N81" s="32"/>
    </row>
    <row r="82" spans="1:14" ht="19.5" customHeight="1">
      <c r="A82" s="1073" t="s">
        <v>31</v>
      </c>
      <c r="B82" s="1074"/>
      <c r="C82" s="1074"/>
      <c r="D82" s="1075"/>
      <c r="E82" s="216">
        <f>E80+E81</f>
        <v>5288516</v>
      </c>
      <c r="F82" s="216">
        <f>F80+F81</f>
        <v>8999049</v>
      </c>
      <c r="G82" s="216">
        <f>G80+G81</f>
        <v>4247739</v>
      </c>
      <c r="H82" s="216"/>
      <c r="I82" s="217"/>
      <c r="J82" s="217"/>
      <c r="K82" s="217"/>
      <c r="N82" s="216" t="e">
        <f>#REF!/#REF!*100</f>
        <v>#REF!</v>
      </c>
    </row>
    <row r="83" spans="1:14" s="213" customFormat="1" ht="16.5">
      <c r="A83" s="224"/>
      <c r="B83" s="34"/>
      <c r="C83" s="1064" t="s">
        <v>543</v>
      </c>
      <c r="D83" s="1058"/>
      <c r="E83" s="32">
        <f>E27+E68</f>
        <v>4532569</v>
      </c>
      <c r="F83" s="32">
        <f>F27+F68</f>
        <v>4271524</v>
      </c>
      <c r="G83" s="32">
        <f>G27+G68</f>
        <v>3319695</v>
      </c>
      <c r="H83" s="32"/>
      <c r="N83" s="32" t="e">
        <f>#REF!/#REF!*100</f>
        <v>#REF!</v>
      </c>
    </row>
    <row r="84" spans="1:14" s="213" customFormat="1" ht="16.5">
      <c r="A84" s="224"/>
      <c r="B84" s="34"/>
      <c r="C84" s="1064" t="s">
        <v>544</v>
      </c>
      <c r="D84" s="1058"/>
      <c r="E84" s="32">
        <f>E29+E70</f>
        <v>0</v>
      </c>
      <c r="F84" s="32">
        <f>F29+F70</f>
        <v>0</v>
      </c>
      <c r="G84" s="32">
        <f>G29+G70</f>
        <v>852598</v>
      </c>
      <c r="H84" s="32"/>
      <c r="N84" s="32" t="e">
        <f>#REF!/#REF!*100</f>
        <v>#REF!</v>
      </c>
    </row>
    <row r="85" spans="1:14" s="213" customFormat="1" ht="16.5">
      <c r="A85" s="224"/>
      <c r="B85" s="34"/>
      <c r="C85" s="1064" t="s">
        <v>545</v>
      </c>
      <c r="D85" s="1058"/>
      <c r="E85" s="32">
        <f>E33+E73</f>
        <v>14982</v>
      </c>
      <c r="F85" s="32">
        <f>F33+F73</f>
        <v>5033534</v>
      </c>
      <c r="G85" s="32">
        <f>G33+G73</f>
        <v>75446</v>
      </c>
      <c r="H85" s="32"/>
      <c r="N85" s="32" t="e">
        <f>#REF!/#REF!*100</f>
        <v>#REF!</v>
      </c>
    </row>
    <row r="86" spans="1:14" s="213" customFormat="1" ht="16.5">
      <c r="A86" s="224"/>
      <c r="B86" s="34"/>
      <c r="C86" s="1064" t="s">
        <v>34</v>
      </c>
      <c r="D86" s="1058"/>
      <c r="E86" s="32">
        <v>-11541</v>
      </c>
      <c r="F86" s="32">
        <v>-782002</v>
      </c>
      <c r="G86" s="32">
        <f>'3b.sz.melléklet'!E202</f>
        <v>0</v>
      </c>
      <c r="H86" s="32"/>
      <c r="N86" s="32"/>
    </row>
    <row r="87" spans="1:14" ht="19.5" customHeight="1">
      <c r="A87" s="1073" t="s">
        <v>546</v>
      </c>
      <c r="B87" s="1074"/>
      <c r="C87" s="1074"/>
      <c r="D87" s="1075"/>
      <c r="E87" s="216">
        <f>SUM(E83:E86)</f>
        <v>4536010</v>
      </c>
      <c r="F87" s="216">
        <f>SUM(F83:F86)</f>
        <v>8523056</v>
      </c>
      <c r="G87" s="216">
        <f>SUM(G83:G86)</f>
        <v>4247739</v>
      </c>
      <c r="H87" s="216"/>
      <c r="I87" s="217"/>
      <c r="J87" s="217"/>
      <c r="K87" s="217"/>
      <c r="N87" s="216" t="e">
        <f>#REF!/#REF!*100</f>
        <v>#REF!</v>
      </c>
    </row>
    <row r="88" spans="1:14" s="213" customFormat="1" ht="16.5">
      <c r="A88" s="224"/>
      <c r="B88" s="34"/>
      <c r="C88" s="1064" t="s">
        <v>547</v>
      </c>
      <c r="D88" s="1058"/>
      <c r="E88" s="32"/>
      <c r="F88" s="32"/>
      <c r="G88" s="32"/>
      <c r="H88" s="32"/>
      <c r="N88" s="32"/>
    </row>
    <row r="89" spans="1:14" ht="19.5" customHeight="1">
      <c r="A89" s="259" t="s">
        <v>47</v>
      </c>
      <c r="B89" s="1034"/>
      <c r="C89" s="1034"/>
      <c r="D89" s="1035"/>
      <c r="E89" s="216">
        <f>E87+E88</f>
        <v>4536010</v>
      </c>
      <c r="F89" s="216">
        <f>F87+F88</f>
        <v>8523056</v>
      </c>
      <c r="G89" s="216">
        <f>G87+G88</f>
        <v>4247739</v>
      </c>
      <c r="H89" s="230"/>
      <c r="I89" s="217"/>
      <c r="J89" s="217"/>
      <c r="K89" s="217"/>
      <c r="N89" s="216" t="e">
        <f>#REF!/#REF!*100</f>
        <v>#REF!</v>
      </c>
    </row>
    <row r="90" spans="1:8" ht="16.5">
      <c r="A90" s="224"/>
      <c r="B90" s="34"/>
      <c r="C90" s="1062" t="s">
        <v>452</v>
      </c>
      <c r="D90" s="1063"/>
      <c r="E90" s="1028"/>
      <c r="F90" s="1028"/>
      <c r="G90" s="1028">
        <f>SUM(G10)</f>
        <v>3589901</v>
      </c>
      <c r="H90" s="1049"/>
    </row>
    <row r="91" spans="1:8" ht="16.5">
      <c r="A91" s="224"/>
      <c r="B91" s="34"/>
      <c r="C91" s="1062" t="s">
        <v>453</v>
      </c>
      <c r="D91" s="1063"/>
      <c r="E91" s="1028"/>
      <c r="F91" s="1028"/>
      <c r="G91" s="1028">
        <f>SUM(G41)</f>
        <v>357838</v>
      </c>
      <c r="H91" s="1049"/>
    </row>
    <row r="92" spans="1:8" ht="17.25">
      <c r="A92" s="224"/>
      <c r="B92" s="236"/>
      <c r="C92" s="1064" t="s">
        <v>454</v>
      </c>
      <c r="D92" s="1058"/>
      <c r="E92" s="1036"/>
      <c r="F92" s="1036"/>
      <c r="G92" s="238">
        <f>SUM(G90:G91)</f>
        <v>3947739</v>
      </c>
      <c r="H92" s="1050"/>
    </row>
    <row r="93" spans="1:8" ht="17.25">
      <c r="A93" s="224"/>
      <c r="B93" s="236"/>
      <c r="C93" s="1062" t="s">
        <v>82</v>
      </c>
      <c r="D93" s="1063"/>
      <c r="E93" s="1036"/>
      <c r="F93" s="1036"/>
      <c r="G93" s="1028">
        <f>SUM(G30)</f>
        <v>3333856</v>
      </c>
      <c r="H93" s="1050"/>
    </row>
    <row r="94" spans="1:8" ht="17.25">
      <c r="A94" s="224"/>
      <c r="B94" s="236"/>
      <c r="C94" s="1062" t="s">
        <v>83</v>
      </c>
      <c r="D94" s="1063"/>
      <c r="E94" s="1036"/>
      <c r="F94" s="1036"/>
      <c r="G94" s="1028">
        <f>SUM(G71)</f>
        <v>838437</v>
      </c>
      <c r="H94" s="1050"/>
    </row>
    <row r="95" spans="1:8" ht="17.25">
      <c r="A95" s="224"/>
      <c r="B95" s="236"/>
      <c r="C95" s="1064" t="s">
        <v>455</v>
      </c>
      <c r="D95" s="1058"/>
      <c r="E95" s="1036"/>
      <c r="F95" s="1036"/>
      <c r="G95" s="32">
        <f>SUM(G93:G94)</f>
        <v>4172293</v>
      </c>
      <c r="H95" s="1050"/>
    </row>
    <row r="96" spans="1:8" ht="17.25">
      <c r="A96" s="1045"/>
      <c r="B96" s="1046"/>
      <c r="C96" s="1048" t="s">
        <v>456</v>
      </c>
      <c r="D96" s="1047"/>
      <c r="E96" s="1047"/>
      <c r="F96" s="1047"/>
      <c r="G96" s="230">
        <f>SUM(G95-G92)</f>
        <v>224554</v>
      </c>
      <c r="H96" s="230"/>
    </row>
    <row r="97" spans="1:8" ht="17.25">
      <c r="A97" s="224"/>
      <c r="B97" s="236"/>
      <c r="C97" s="1041" t="s">
        <v>422</v>
      </c>
      <c r="D97" s="1037"/>
      <c r="E97" s="1037"/>
      <c r="F97" s="1037"/>
      <c r="G97" s="1037"/>
      <c r="H97" s="1050"/>
    </row>
    <row r="98" spans="1:8" ht="17.25">
      <c r="A98" s="224"/>
      <c r="B98" s="236"/>
      <c r="C98" s="1041" t="s">
        <v>423</v>
      </c>
      <c r="D98" s="1037"/>
      <c r="E98" s="1037"/>
      <c r="F98" s="1037"/>
      <c r="G98" s="53">
        <f>SUM(G85)</f>
        <v>75446</v>
      </c>
      <c r="H98" s="1050"/>
    </row>
    <row r="99" spans="1:8" ht="17.25">
      <c r="A99" s="224"/>
      <c r="B99" s="236"/>
      <c r="C99" s="1058" t="s">
        <v>421</v>
      </c>
      <c r="D99" s="1059"/>
      <c r="E99" s="1037"/>
      <c r="F99" s="1037"/>
      <c r="G99" s="32">
        <f>SUM(G97:G98)</f>
        <v>75446</v>
      </c>
      <c r="H99" s="1050"/>
    </row>
    <row r="100" spans="1:8" ht="17.25">
      <c r="A100" s="224"/>
      <c r="B100" s="236"/>
      <c r="C100" s="1055" t="s">
        <v>457</v>
      </c>
      <c r="D100" s="1056"/>
      <c r="E100" s="1037"/>
      <c r="F100" s="1037"/>
      <c r="G100" s="32">
        <f>SUM(G78-G99)</f>
        <v>124554</v>
      </c>
      <c r="H100" s="1050"/>
    </row>
    <row r="101" spans="1:8" ht="18.75">
      <c r="A101" s="1029"/>
      <c r="B101" s="1044"/>
      <c r="C101" s="1060" t="s">
        <v>84</v>
      </c>
      <c r="D101" s="1061"/>
      <c r="E101" s="1061"/>
      <c r="F101" s="1061"/>
      <c r="G101" s="1038">
        <f>SUM(G95+G99)</f>
        <v>4247739</v>
      </c>
      <c r="H101" s="1038"/>
    </row>
    <row r="102" spans="1:8" ht="17.25">
      <c r="A102" s="224"/>
      <c r="B102" s="236"/>
      <c r="C102" s="1042"/>
      <c r="D102" s="251"/>
      <c r="E102" s="1037"/>
      <c r="F102" s="1037"/>
      <c r="G102" s="1037"/>
      <c r="H102" s="1050"/>
    </row>
    <row r="103" spans="1:8" ht="17.25">
      <c r="A103" s="224"/>
      <c r="B103" s="236"/>
      <c r="C103" s="1043" t="s">
        <v>85</v>
      </c>
      <c r="D103" s="1039"/>
      <c r="E103" s="1039"/>
      <c r="F103" s="1039"/>
      <c r="G103" s="1040">
        <f>SUM(G101-G92)</f>
        <v>300000</v>
      </c>
      <c r="H103" s="1050"/>
    </row>
    <row r="104" spans="1:8" ht="17.25">
      <c r="A104" s="224"/>
      <c r="B104" s="236"/>
      <c r="C104" s="1052" t="s">
        <v>424</v>
      </c>
      <c r="D104" s="1037"/>
      <c r="E104" s="1037"/>
      <c r="F104" s="1037"/>
      <c r="G104" s="1028">
        <v>100000</v>
      </c>
      <c r="H104" s="1050"/>
    </row>
    <row r="105" spans="1:8" ht="17.25">
      <c r="A105" s="224"/>
      <c r="B105" s="236"/>
      <c r="C105" s="1052" t="s">
        <v>425</v>
      </c>
      <c r="D105" s="1037"/>
      <c r="E105" s="1037"/>
      <c r="F105" s="1037"/>
      <c r="G105" s="1028">
        <v>200000</v>
      </c>
      <c r="H105" s="1050"/>
    </row>
    <row r="109" spans="4:7" ht="26.25">
      <c r="D109" s="1057" t="s">
        <v>451</v>
      </c>
      <c r="F109" s="1077">
        <f>SUM(G89-G82)</f>
        <v>0</v>
      </c>
      <c r="G109" s="1078"/>
    </row>
  </sheetData>
  <sheetProtection/>
  <mergeCells count="49">
    <mergeCell ref="F109:G109"/>
    <mergeCell ref="P21:P22"/>
    <mergeCell ref="P23:P24"/>
    <mergeCell ref="C88:D88"/>
    <mergeCell ref="C78:D78"/>
    <mergeCell ref="A70:D70"/>
    <mergeCell ref="A34:D34"/>
    <mergeCell ref="A49:D49"/>
    <mergeCell ref="A74:D74"/>
    <mergeCell ref="C76:D76"/>
    <mergeCell ref="A80:D80"/>
    <mergeCell ref="A82:D82"/>
    <mergeCell ref="A87:D87"/>
    <mergeCell ref="C84:D84"/>
    <mergeCell ref="C81:D81"/>
    <mergeCell ref="C86:D86"/>
    <mergeCell ref="C85:D85"/>
    <mergeCell ref="C83:D83"/>
    <mergeCell ref="A1:C1"/>
    <mergeCell ref="A44:D44"/>
    <mergeCell ref="A14:D14"/>
    <mergeCell ref="A17:D17"/>
    <mergeCell ref="A18:D18"/>
    <mergeCell ref="A33:D33"/>
    <mergeCell ref="C79:D79"/>
    <mergeCell ref="A73:D73"/>
    <mergeCell ref="A2:D2"/>
    <mergeCell ref="A29:D29"/>
    <mergeCell ref="A27:D27"/>
    <mergeCell ref="A30:D30"/>
    <mergeCell ref="A19:D19"/>
    <mergeCell ref="A3:D3"/>
    <mergeCell ref="A10:D10"/>
    <mergeCell ref="A13:D13"/>
    <mergeCell ref="C77:D77"/>
    <mergeCell ref="A68:D68"/>
    <mergeCell ref="A35:D35"/>
    <mergeCell ref="A41:D41"/>
    <mergeCell ref="A45:D45"/>
    <mergeCell ref="A50:D50"/>
    <mergeCell ref="A71:D71"/>
    <mergeCell ref="C99:D99"/>
    <mergeCell ref="C101:F101"/>
    <mergeCell ref="C90:D90"/>
    <mergeCell ref="C91:D91"/>
    <mergeCell ref="C92:D92"/>
    <mergeCell ref="C93:D93"/>
    <mergeCell ref="C94:D94"/>
    <mergeCell ref="C95:D95"/>
  </mergeCells>
  <printOptions horizontalCentered="1"/>
  <pageMargins left="0.1968503937007874" right="0.1968503937007874" top="0.99" bottom="0.92" header="0.45" footer="0.44"/>
  <pageSetup firstPageNumber="29" useFirstPageNumber="1" horizontalDpi="600" verticalDpi="600" orientation="portrait" paperSize="9" scale="82" r:id="rId1"/>
  <headerFooter alignWithMargins="0">
    <oddHeader>&amp;C&amp;"Times New Roman,Félkövér"&amp;14Vecsés Város Önkormányzat 2011. évi bevételei és kiadásai&amp;R1. sz. melléklet
ezer Ft</oddHeader>
    <oddFooter>&amp;C-&amp;P -</oddFooter>
  </headerFooter>
  <rowBreaks count="2" manualBreakCount="2">
    <brk id="45" max="7" man="1"/>
    <brk id="89" max="7" man="1"/>
  </rowBreaks>
  <colBreaks count="1" manualBreakCount="1">
    <brk id="8" max="8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I30" sqref="I30"/>
    </sheetView>
  </sheetViews>
  <sheetFormatPr defaultColWidth="9.140625" defaultRowHeight="12.75"/>
  <cols>
    <col min="1" max="1" width="2.140625" style="0" customWidth="1"/>
    <col min="2" max="2" width="3.57421875" style="24" customWidth="1"/>
    <col min="3" max="3" width="6.57421875" style="24" customWidth="1"/>
    <col min="4" max="4" width="52.421875" style="0" customWidth="1"/>
    <col min="5" max="5" width="11.00390625" style="0" customWidth="1"/>
  </cols>
  <sheetData>
    <row r="1" spans="1:5" ht="48" customHeight="1">
      <c r="A1" s="1076" t="s">
        <v>9</v>
      </c>
      <c r="B1" s="1076"/>
      <c r="C1" s="1076"/>
      <c r="D1" s="1" t="s">
        <v>10</v>
      </c>
      <c r="E1" s="204" t="s">
        <v>1133</v>
      </c>
    </row>
    <row r="2" spans="1:5" ht="18.75">
      <c r="A2" s="14"/>
      <c r="B2" s="15"/>
      <c r="C2" s="16"/>
      <c r="D2" s="26" t="s">
        <v>13</v>
      </c>
      <c r="E2" s="18"/>
    </row>
    <row r="3" spans="1:5" ht="19.5" customHeight="1">
      <c r="A3" s="27"/>
      <c r="B3" s="28" t="s">
        <v>14</v>
      </c>
      <c r="C3" s="29"/>
      <c r="D3" s="30" t="s">
        <v>15</v>
      </c>
      <c r="E3" s="31"/>
    </row>
    <row r="4" spans="1:5" s="213" customFormat="1" ht="16.5">
      <c r="A4" s="66"/>
      <c r="B4" s="34" t="s">
        <v>16</v>
      </c>
      <c r="C4" s="74"/>
      <c r="D4" s="35" t="s">
        <v>48</v>
      </c>
      <c r="E4" s="32"/>
    </row>
    <row r="5" spans="1:5" s="213" customFormat="1" ht="16.5">
      <c r="A5" s="66"/>
      <c r="B5" s="34" t="s">
        <v>17</v>
      </c>
      <c r="C5" s="74"/>
      <c r="D5" s="35" t="s">
        <v>18</v>
      </c>
      <c r="E5" s="32"/>
    </row>
    <row r="6" spans="1:5" s="213" customFormat="1" ht="16.5">
      <c r="A6" s="66"/>
      <c r="B6" s="34" t="s">
        <v>36</v>
      </c>
      <c r="C6" s="74"/>
      <c r="D6" s="35" t="s">
        <v>21</v>
      </c>
      <c r="E6" s="32"/>
    </row>
    <row r="7" spans="1:5" s="213" customFormat="1" ht="16.5">
      <c r="A7" s="66"/>
      <c r="B7" s="34" t="s">
        <v>37</v>
      </c>
      <c r="C7" s="74"/>
      <c r="D7" s="35" t="s">
        <v>619</v>
      </c>
      <c r="E7" s="32">
        <v>3710</v>
      </c>
    </row>
    <row r="8" spans="1:5" s="213" customFormat="1" ht="16.5">
      <c r="A8" s="66"/>
      <c r="B8" s="34" t="s">
        <v>38</v>
      </c>
      <c r="C8" s="74"/>
      <c r="D8" s="35" t="s">
        <v>621</v>
      </c>
      <c r="E8" s="32"/>
    </row>
    <row r="9" spans="1:5" s="213" customFormat="1" ht="16.5">
      <c r="A9" s="66"/>
      <c r="B9" s="34" t="s">
        <v>39</v>
      </c>
      <c r="C9" s="74"/>
      <c r="D9" s="35" t="s">
        <v>142</v>
      </c>
      <c r="E9" s="32"/>
    </row>
    <row r="10" spans="1:5" s="239" customFormat="1" ht="17.25">
      <c r="A10" s="86" t="s">
        <v>238</v>
      </c>
      <c r="B10" s="236"/>
      <c r="C10" s="237"/>
      <c r="D10" s="88" t="s">
        <v>1104</v>
      </c>
      <c r="E10" s="238">
        <f>SUM(E4:E9)</f>
        <v>3710</v>
      </c>
    </row>
    <row r="11" spans="1:5" s="213" customFormat="1" ht="16.5">
      <c r="A11" s="66"/>
      <c r="B11" s="34" t="s">
        <v>42</v>
      </c>
      <c r="C11" s="74"/>
      <c r="D11" s="35" t="s">
        <v>635</v>
      </c>
      <c r="E11" s="32"/>
    </row>
    <row r="12" spans="1:5" s="239" customFormat="1" ht="17.25">
      <c r="A12" s="86" t="s">
        <v>270</v>
      </c>
      <c r="B12" s="236"/>
      <c r="C12" s="237"/>
      <c r="D12" s="88" t="s">
        <v>1213</v>
      </c>
      <c r="E12" s="238"/>
    </row>
    <row r="13" spans="1:5" ht="21.75" customHeight="1">
      <c r="A13" s="36"/>
      <c r="B13" s="37"/>
      <c r="C13" s="38"/>
      <c r="D13" s="39" t="s">
        <v>31</v>
      </c>
      <c r="E13" s="40">
        <f>E10+E12</f>
        <v>3710</v>
      </c>
    </row>
    <row r="14" spans="1:5" ht="18.75">
      <c r="A14" s="14"/>
      <c r="B14" s="15"/>
      <c r="C14" s="16"/>
      <c r="D14" s="26" t="s">
        <v>32</v>
      </c>
      <c r="E14" s="18"/>
    </row>
    <row r="15" spans="1:9" ht="16.5">
      <c r="A15" s="27"/>
      <c r="B15" s="28" t="s">
        <v>14</v>
      </c>
      <c r="C15" s="29"/>
      <c r="D15" s="30" t="s">
        <v>33</v>
      </c>
      <c r="E15" s="31"/>
      <c r="G15" s="161" t="s">
        <v>1226</v>
      </c>
      <c r="H15" s="161" t="s">
        <v>1227</v>
      </c>
      <c r="I15" s="732" t="s">
        <v>12</v>
      </c>
    </row>
    <row r="16" spans="1:9" ht="16.5">
      <c r="A16" s="4"/>
      <c r="B16" s="20" t="s">
        <v>16</v>
      </c>
      <c r="C16" s="21"/>
      <c r="D16" s="22" t="s">
        <v>251</v>
      </c>
      <c r="E16" s="23">
        <v>1050</v>
      </c>
      <c r="G16" s="734" t="e">
        <f>SUM(#REF!+'cigány 3e sz. mell'!#REF!)</f>
        <v>#REF!</v>
      </c>
      <c r="H16" s="734">
        <f>SUM(E16+'cigány 3e sz. mell'!J16)</f>
        <v>1050</v>
      </c>
      <c r="I16" s="735"/>
    </row>
    <row r="17" spans="1:9" ht="16.5">
      <c r="A17" s="9"/>
      <c r="B17" s="15" t="s">
        <v>17</v>
      </c>
      <c r="C17" s="16"/>
      <c r="D17" s="17" t="s">
        <v>35</v>
      </c>
      <c r="E17" s="23">
        <v>284</v>
      </c>
      <c r="G17" s="734" t="e">
        <f>SUM(#REF!+'cigány 3e sz. mell'!#REF!)</f>
        <v>#REF!</v>
      </c>
      <c r="H17" s="734">
        <f>SUM(E17+'cigány 3e sz. mell'!J17)</f>
        <v>284</v>
      </c>
      <c r="I17" s="735"/>
    </row>
    <row r="18" spans="1:9" ht="16.5">
      <c r="A18" s="9"/>
      <c r="B18" s="15" t="s">
        <v>36</v>
      </c>
      <c r="C18" s="16"/>
      <c r="D18" s="17" t="s">
        <v>552</v>
      </c>
      <c r="E18" s="23">
        <v>2376</v>
      </c>
      <c r="G18" s="734" t="e">
        <f>SUM(#REF!+'cigány 3e sz. mell'!#REF!)</f>
        <v>#REF!</v>
      </c>
      <c r="H18" s="734">
        <f>SUM(E18+'cigány 3e sz. mell'!J18)</f>
        <v>4086</v>
      </c>
      <c r="I18" s="735"/>
    </row>
    <row r="19" spans="1:9" ht="16.5">
      <c r="A19" s="14"/>
      <c r="B19" s="15" t="s">
        <v>37</v>
      </c>
      <c r="C19" s="16"/>
      <c r="D19" s="17" t="s">
        <v>553</v>
      </c>
      <c r="E19" s="23"/>
      <c r="G19" s="734" t="e">
        <f>SUM(#REF!+'cigány 3e sz. mell'!#REF!)</f>
        <v>#REF!</v>
      </c>
      <c r="H19" s="734">
        <f>SUM(E19+'cigány 3e sz. mell'!J19)</f>
        <v>0</v>
      </c>
      <c r="I19" s="735"/>
    </row>
    <row r="20" spans="1:9" ht="16.5">
      <c r="A20" s="14"/>
      <c r="B20" s="15" t="s">
        <v>38</v>
      </c>
      <c r="C20" s="16"/>
      <c r="D20" s="17" t="s">
        <v>1179</v>
      </c>
      <c r="E20" s="23"/>
      <c r="G20" s="734" t="e">
        <f>SUM(#REF!+'cigány 3e sz. mell'!#REF!)</f>
        <v>#REF!</v>
      </c>
      <c r="H20" s="734">
        <f>SUM(E20+'cigány 3e sz. mell'!J20)</f>
        <v>0</v>
      </c>
      <c r="I20" s="735"/>
    </row>
    <row r="21" spans="1:9" ht="16.5">
      <c r="A21" s="14"/>
      <c r="B21" s="15" t="s">
        <v>39</v>
      </c>
      <c r="C21" s="16"/>
      <c r="D21" s="17" t="s">
        <v>1203</v>
      </c>
      <c r="E21" s="23"/>
      <c r="G21" s="734" t="e">
        <f>SUM(#REF!+'cigány 3e sz. mell'!#REF!)</f>
        <v>#REF!</v>
      </c>
      <c r="H21" s="734">
        <f>SUM(E21+'cigány 3e sz. mell'!J21)</f>
        <v>0</v>
      </c>
      <c r="I21" s="735"/>
    </row>
    <row r="22" spans="1:9" s="239" customFormat="1" ht="17.25">
      <c r="A22" s="86" t="s">
        <v>238</v>
      </c>
      <c r="B22" s="236"/>
      <c r="C22" s="237"/>
      <c r="D22" s="88" t="s">
        <v>1109</v>
      </c>
      <c r="E22" s="238">
        <f>SUM(E16:E21)</f>
        <v>3710</v>
      </c>
      <c r="G22" s="734" t="e">
        <f>SUM(#REF!+'cigány 3e sz. mell'!#REF!)</f>
        <v>#REF!</v>
      </c>
      <c r="H22" s="734">
        <f>SUM(E22+'cigány 3e sz. mell'!J22)</f>
        <v>5420</v>
      </c>
      <c r="I22" s="735"/>
    </row>
    <row r="23" spans="1:5" ht="14.25">
      <c r="A23" s="14"/>
      <c r="B23" s="15" t="s">
        <v>42</v>
      </c>
      <c r="C23" s="16"/>
      <c r="D23" s="17" t="s">
        <v>34</v>
      </c>
      <c r="E23" s="23"/>
    </row>
    <row r="24" spans="1:5" s="239" customFormat="1" ht="17.25">
      <c r="A24" s="86" t="s">
        <v>270</v>
      </c>
      <c r="B24" s="236"/>
      <c r="C24" s="237"/>
      <c r="D24" s="88" t="s">
        <v>1214</v>
      </c>
      <c r="E24" s="238">
        <f>E23</f>
        <v>0</v>
      </c>
    </row>
    <row r="25" spans="1:5" ht="16.5">
      <c r="A25" s="33"/>
      <c r="B25" s="34" t="s">
        <v>19</v>
      </c>
      <c r="C25" s="42"/>
      <c r="D25" s="35" t="s">
        <v>43</v>
      </c>
      <c r="E25" s="32"/>
    </row>
    <row r="26" spans="1:5" ht="16.5">
      <c r="A26" s="224"/>
      <c r="B26" s="34"/>
      <c r="C26" s="74" t="s">
        <v>20</v>
      </c>
      <c r="D26" s="35" t="s">
        <v>53</v>
      </c>
      <c r="E26" s="23">
        <f>E27+E28</f>
        <v>0</v>
      </c>
    </row>
    <row r="27" spans="1:5" s="246" customFormat="1" ht="15.75">
      <c r="A27" s="240"/>
      <c r="B27" s="241"/>
      <c r="C27" s="242" t="s">
        <v>144</v>
      </c>
      <c r="D27" s="243" t="s">
        <v>1215</v>
      </c>
      <c r="E27" s="245"/>
    </row>
    <row r="28" spans="1:5" s="246" customFormat="1" ht="15.75">
      <c r="A28" s="240"/>
      <c r="B28" s="241"/>
      <c r="C28" s="242" t="s">
        <v>186</v>
      </c>
      <c r="D28" s="243" t="s">
        <v>1218</v>
      </c>
      <c r="E28" s="245"/>
    </row>
    <row r="29" spans="1:5" ht="16.5">
      <c r="A29" s="224"/>
      <c r="B29" s="34"/>
      <c r="C29" s="74" t="s">
        <v>44</v>
      </c>
      <c r="D29" s="35" t="s">
        <v>52</v>
      </c>
      <c r="E29" s="23"/>
    </row>
    <row r="30" spans="1:5" s="246" customFormat="1" ht="15.75">
      <c r="A30" s="240"/>
      <c r="B30" s="241"/>
      <c r="C30" s="242" t="s">
        <v>188</v>
      </c>
      <c r="D30" s="242" t="s">
        <v>1217</v>
      </c>
      <c r="E30" s="245"/>
    </row>
    <row r="31" spans="1:5" s="246" customFormat="1" ht="15.75">
      <c r="A31" s="240"/>
      <c r="B31" s="241"/>
      <c r="C31" s="242" t="s">
        <v>1461</v>
      </c>
      <c r="D31" s="242" t="s">
        <v>1216</v>
      </c>
      <c r="E31" s="245"/>
    </row>
    <row r="32" spans="1:5" s="239" customFormat="1" ht="17.25">
      <c r="A32" s="86" t="s">
        <v>238</v>
      </c>
      <c r="B32" s="236"/>
      <c r="C32" s="237"/>
      <c r="D32" s="88" t="s">
        <v>1411</v>
      </c>
      <c r="E32" s="238">
        <f>E26+E29</f>
        <v>0</v>
      </c>
    </row>
    <row r="33" spans="1:5" s="106" customFormat="1" ht="18.75">
      <c r="A33" s="36"/>
      <c r="B33" s="37"/>
      <c r="C33" s="38"/>
      <c r="D33" s="39" t="s">
        <v>47</v>
      </c>
      <c r="E33" s="40">
        <f>E24+E22+E32</f>
        <v>3710</v>
      </c>
    </row>
    <row r="34" spans="2:4" s="106" customFormat="1" ht="12.75">
      <c r="B34" s="184"/>
      <c r="C34" s="207"/>
      <c r="D34" s="208"/>
    </row>
    <row r="35" ht="15">
      <c r="D35" s="145"/>
    </row>
  </sheetData>
  <sheetProtection/>
  <mergeCells count="1">
    <mergeCell ref="A1:C1"/>
  </mergeCells>
  <printOptions horizontalCentered="1"/>
  <pageMargins left="0.1968503937007874" right="0.1968503937007874" top="1.1811023622047245" bottom="0.5905511811023623" header="0.31496062992125984" footer="0.11811023622047245"/>
  <pageSetup firstPageNumber="61" useFirstPageNumber="1" horizontalDpi="600" verticalDpi="600" orientation="portrait" paperSize="9" r:id="rId1"/>
  <headerFooter alignWithMargins="0">
    <oddHeader>&amp;C&amp;"Times New Roman,Félkövér"&amp;14
Vecsés Város Német Nemzetiségi Önkormányzat 2011. évi költségvetésének alakulásáról&amp;R3/d. sz. melléklet
ezer Ft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J8" sqref="J8"/>
    </sheetView>
  </sheetViews>
  <sheetFormatPr defaultColWidth="9.140625" defaultRowHeight="12.75"/>
  <cols>
    <col min="1" max="1" width="2.140625" style="0" customWidth="1"/>
    <col min="2" max="2" width="3.57421875" style="24" customWidth="1"/>
    <col min="3" max="3" width="6.57421875" style="24" customWidth="1"/>
    <col min="4" max="4" width="52.421875" style="0" customWidth="1"/>
    <col min="5" max="6" width="12.421875" style="0" hidden="1" customWidth="1"/>
    <col min="7" max="7" width="11.8515625" style="0" hidden="1" customWidth="1"/>
    <col min="8" max="8" width="12.421875" style="0" hidden="1" customWidth="1"/>
    <col min="9" max="9" width="11.8515625" style="0" hidden="1" customWidth="1"/>
    <col min="10" max="10" width="11.8515625" style="0" customWidth="1"/>
    <col min="11" max="12" width="0" style="0" hidden="1" customWidth="1"/>
  </cols>
  <sheetData>
    <row r="1" spans="1:10" ht="48" customHeight="1">
      <c r="A1" s="1076" t="s">
        <v>9</v>
      </c>
      <c r="B1" s="1076"/>
      <c r="C1" s="1076"/>
      <c r="D1" s="1" t="s">
        <v>10</v>
      </c>
      <c r="E1" s="1" t="s">
        <v>1405</v>
      </c>
      <c r="F1" s="1" t="s">
        <v>1445</v>
      </c>
      <c r="G1" s="204" t="s">
        <v>539</v>
      </c>
      <c r="H1" s="1" t="s">
        <v>1390</v>
      </c>
      <c r="I1" s="204" t="s">
        <v>1058</v>
      </c>
      <c r="J1" s="204" t="s">
        <v>1133</v>
      </c>
    </row>
    <row r="2" spans="1:10" ht="18.75">
      <c r="A2" s="14"/>
      <c r="B2" s="15"/>
      <c r="C2" s="16"/>
      <c r="D2" s="26" t="s">
        <v>13</v>
      </c>
      <c r="E2" s="18"/>
      <c r="F2" s="18"/>
      <c r="G2" s="18"/>
      <c r="H2" s="18"/>
      <c r="I2" s="18"/>
      <c r="J2" s="18"/>
    </row>
    <row r="3" spans="1:10" ht="19.5" customHeight="1">
      <c r="A3" s="27"/>
      <c r="B3" s="28" t="s">
        <v>14</v>
      </c>
      <c r="C3" s="29"/>
      <c r="D3" s="30" t="s">
        <v>15</v>
      </c>
      <c r="E3" s="31">
        <f>SUM(E5+E4)</f>
        <v>0</v>
      </c>
      <c r="F3" s="31"/>
      <c r="G3" s="31"/>
      <c r="H3" s="31"/>
      <c r="I3" s="31"/>
      <c r="J3" s="31"/>
    </row>
    <row r="4" spans="1:10" ht="19.5" customHeight="1">
      <c r="A4" s="66"/>
      <c r="B4" s="34" t="s">
        <v>16</v>
      </c>
      <c r="C4" s="74"/>
      <c r="D4" s="35" t="s">
        <v>48</v>
      </c>
      <c r="E4" s="32"/>
      <c r="F4" s="32">
        <v>0</v>
      </c>
      <c r="G4" s="32">
        <v>0</v>
      </c>
      <c r="H4" s="32">
        <v>0</v>
      </c>
      <c r="I4" s="32">
        <v>0</v>
      </c>
      <c r="J4" s="32"/>
    </row>
    <row r="5" spans="1:10" ht="16.5">
      <c r="A5" s="66"/>
      <c r="B5" s="34" t="s">
        <v>17</v>
      </c>
      <c r="C5" s="74"/>
      <c r="D5" s="35" t="s">
        <v>18</v>
      </c>
      <c r="E5" s="32"/>
      <c r="F5" s="32">
        <v>0</v>
      </c>
      <c r="G5" s="32">
        <v>0</v>
      </c>
      <c r="H5" s="32">
        <v>0</v>
      </c>
      <c r="I5" s="32">
        <v>0</v>
      </c>
      <c r="J5" s="32"/>
    </row>
    <row r="6" spans="1:10" ht="19.5" customHeight="1">
      <c r="A6" s="66"/>
      <c r="B6" s="34" t="s">
        <v>36</v>
      </c>
      <c r="C6" s="74"/>
      <c r="D6" s="35" t="s">
        <v>21</v>
      </c>
      <c r="E6" s="32">
        <f>SUM(E7+E8+E16)</f>
        <v>3140</v>
      </c>
      <c r="F6" s="32">
        <v>640</v>
      </c>
      <c r="G6" s="32"/>
      <c r="H6" s="32">
        <v>665</v>
      </c>
      <c r="I6" s="32">
        <v>0</v>
      </c>
      <c r="J6" s="32"/>
    </row>
    <row r="7" spans="1:10" ht="15" customHeight="1">
      <c r="A7" s="66"/>
      <c r="B7" s="34" t="s">
        <v>37</v>
      </c>
      <c r="C7" s="74"/>
      <c r="D7" s="35" t="s">
        <v>619</v>
      </c>
      <c r="E7" s="32"/>
      <c r="F7" s="32">
        <v>1000</v>
      </c>
      <c r="G7" s="32">
        <v>1500</v>
      </c>
      <c r="H7" s="32">
        <v>1500</v>
      </c>
      <c r="I7" s="32">
        <v>1500</v>
      </c>
      <c r="J7" s="32">
        <v>1710</v>
      </c>
    </row>
    <row r="8" spans="1:10" ht="15" customHeight="1">
      <c r="A8" s="66"/>
      <c r="B8" s="34" t="s">
        <v>38</v>
      </c>
      <c r="C8" s="74"/>
      <c r="D8" s="35" t="s">
        <v>621</v>
      </c>
      <c r="E8" s="32"/>
      <c r="F8" s="32">
        <v>0</v>
      </c>
      <c r="G8" s="32">
        <v>0</v>
      </c>
      <c r="H8" s="32">
        <v>0</v>
      </c>
      <c r="I8" s="32">
        <v>0</v>
      </c>
      <c r="J8" s="32"/>
    </row>
    <row r="9" spans="1:10" ht="15" customHeight="1">
      <c r="A9" s="66"/>
      <c r="B9" s="34" t="s">
        <v>39</v>
      </c>
      <c r="C9" s="74"/>
      <c r="D9" s="35" t="s">
        <v>142</v>
      </c>
      <c r="E9" s="32"/>
      <c r="F9" s="32">
        <v>0</v>
      </c>
      <c r="G9" s="32">
        <v>0</v>
      </c>
      <c r="H9" s="32">
        <v>0</v>
      </c>
      <c r="I9" s="32">
        <v>0</v>
      </c>
      <c r="J9" s="32"/>
    </row>
    <row r="10" spans="1:10" ht="18" customHeight="1">
      <c r="A10" s="86" t="s">
        <v>238</v>
      </c>
      <c r="B10" s="236"/>
      <c r="C10" s="237"/>
      <c r="D10" s="88" t="s">
        <v>1104</v>
      </c>
      <c r="E10" s="238"/>
      <c r="F10" s="238">
        <f>SUM(F4:F9)</f>
        <v>1640</v>
      </c>
      <c r="G10" s="238">
        <f>SUM(G4:G9)</f>
        <v>1500</v>
      </c>
      <c r="H10" s="238">
        <f>SUM(H4:H9)</f>
        <v>2165</v>
      </c>
      <c r="I10" s="238">
        <f>SUM(I4:I9)</f>
        <v>1500</v>
      </c>
      <c r="J10" s="238">
        <f>SUM(J4:J9)</f>
        <v>1710</v>
      </c>
    </row>
    <row r="11" spans="1:10" ht="21" customHeight="1">
      <c r="A11" s="66"/>
      <c r="B11" s="34" t="s">
        <v>42</v>
      </c>
      <c r="C11" s="74"/>
      <c r="D11" s="35" t="s">
        <v>635</v>
      </c>
      <c r="E11" s="32"/>
      <c r="F11" s="32">
        <v>0</v>
      </c>
      <c r="G11" s="32"/>
      <c r="H11" s="32">
        <v>45</v>
      </c>
      <c r="I11" s="32">
        <v>0</v>
      </c>
      <c r="J11" s="32"/>
    </row>
    <row r="12" spans="1:10" ht="21" customHeight="1">
      <c r="A12" s="86" t="s">
        <v>270</v>
      </c>
      <c r="B12" s="236"/>
      <c r="C12" s="237"/>
      <c r="D12" s="88" t="s">
        <v>1213</v>
      </c>
      <c r="E12" s="238" t="e">
        <f>SUM(#REF!+E5)</f>
        <v>#REF!</v>
      </c>
      <c r="F12" s="238">
        <f>F11</f>
        <v>0</v>
      </c>
      <c r="G12" s="238">
        <f>G11</f>
        <v>0</v>
      </c>
      <c r="H12" s="238">
        <f>H11</f>
        <v>45</v>
      </c>
      <c r="I12" s="238">
        <f>I11</f>
        <v>0</v>
      </c>
      <c r="J12" s="238"/>
    </row>
    <row r="13" spans="1:10" ht="19.5" customHeight="1">
      <c r="A13" s="36"/>
      <c r="B13" s="37"/>
      <c r="C13" s="38"/>
      <c r="D13" s="39" t="s">
        <v>31</v>
      </c>
      <c r="E13" s="40" t="e">
        <f>SUM(#REF!)</f>
        <v>#REF!</v>
      </c>
      <c r="F13" s="40">
        <f>F10+F12</f>
        <v>1640</v>
      </c>
      <c r="G13" s="40">
        <f>G10+G12</f>
        <v>1500</v>
      </c>
      <c r="H13" s="40">
        <f>H10+H12</f>
        <v>2210</v>
      </c>
      <c r="I13" s="40">
        <f>I10+I12</f>
        <v>1500</v>
      </c>
      <c r="J13" s="40">
        <f>J10+J12</f>
        <v>1710</v>
      </c>
    </row>
    <row r="14" spans="1:10" ht="21" customHeight="1">
      <c r="A14" s="14"/>
      <c r="B14" s="15"/>
      <c r="C14" s="16"/>
      <c r="D14" s="26" t="s">
        <v>32</v>
      </c>
      <c r="E14" s="18"/>
      <c r="F14" s="18"/>
      <c r="G14" s="18"/>
      <c r="H14" s="18"/>
      <c r="I14" s="18"/>
      <c r="J14" s="18"/>
    </row>
    <row r="15" spans="1:10" ht="19.5" customHeight="1">
      <c r="A15" s="27"/>
      <c r="B15" s="28" t="s">
        <v>14</v>
      </c>
      <c r="C15" s="29"/>
      <c r="D15" s="30" t="s">
        <v>33</v>
      </c>
      <c r="E15" s="31">
        <f>SUM(E16+E17+E18+E19+E20)</f>
        <v>6280</v>
      </c>
      <c r="F15" s="31"/>
      <c r="G15" s="31"/>
      <c r="H15" s="31"/>
      <c r="I15" s="31"/>
      <c r="J15" s="31"/>
    </row>
    <row r="16" spans="1:10" ht="21.75" customHeight="1">
      <c r="A16" s="4"/>
      <c r="B16" s="20" t="s">
        <v>16</v>
      </c>
      <c r="C16" s="21"/>
      <c r="D16" s="22" t="s">
        <v>251</v>
      </c>
      <c r="E16" s="23">
        <f>SUM(E17:E18)</f>
        <v>3140</v>
      </c>
      <c r="F16" s="23">
        <v>0</v>
      </c>
      <c r="G16" s="23">
        <v>0</v>
      </c>
      <c r="H16" s="23">
        <v>0</v>
      </c>
      <c r="I16" s="23"/>
      <c r="J16" s="23"/>
    </row>
    <row r="17" spans="1:10" ht="15">
      <c r="A17" s="9"/>
      <c r="B17" s="15" t="s">
        <v>17</v>
      </c>
      <c r="C17" s="16"/>
      <c r="D17" s="17" t="s">
        <v>35</v>
      </c>
      <c r="E17" s="13"/>
      <c r="F17" s="23">
        <v>0</v>
      </c>
      <c r="G17" s="23">
        <v>0</v>
      </c>
      <c r="H17" s="23">
        <v>0</v>
      </c>
      <c r="I17" s="23"/>
      <c r="J17" s="23"/>
    </row>
    <row r="18" spans="1:10" ht="15">
      <c r="A18" s="9"/>
      <c r="B18" s="15" t="s">
        <v>36</v>
      </c>
      <c r="C18" s="16"/>
      <c r="D18" s="17" t="s">
        <v>552</v>
      </c>
      <c r="E18" s="13">
        <v>3140</v>
      </c>
      <c r="F18" s="23">
        <v>1640</v>
      </c>
      <c r="G18" s="23">
        <v>1500</v>
      </c>
      <c r="H18" s="23">
        <v>1500</v>
      </c>
      <c r="I18" s="23">
        <v>1500</v>
      </c>
      <c r="J18" s="23">
        <v>1710</v>
      </c>
    </row>
    <row r="19" spans="1:10" ht="15">
      <c r="A19" s="14"/>
      <c r="B19" s="15" t="s">
        <v>37</v>
      </c>
      <c r="C19" s="16"/>
      <c r="D19" s="17" t="s">
        <v>553</v>
      </c>
      <c r="E19" s="13"/>
      <c r="F19" s="23">
        <v>0</v>
      </c>
      <c r="G19" s="23">
        <v>0</v>
      </c>
      <c r="H19" s="23">
        <v>0</v>
      </c>
      <c r="I19" s="23"/>
      <c r="J19" s="23"/>
    </row>
    <row r="20" spans="1:10" ht="15">
      <c r="A20" s="14"/>
      <c r="B20" s="15" t="s">
        <v>38</v>
      </c>
      <c r="C20" s="16"/>
      <c r="D20" s="17" t="s">
        <v>1179</v>
      </c>
      <c r="E20" s="13"/>
      <c r="F20" s="23">
        <v>0</v>
      </c>
      <c r="G20" s="23">
        <v>0</v>
      </c>
      <c r="H20" s="23">
        <v>0</v>
      </c>
      <c r="I20" s="23"/>
      <c r="J20" s="23"/>
    </row>
    <row r="21" spans="1:12" ht="15">
      <c r="A21" s="14"/>
      <c r="B21" s="15" t="s">
        <v>39</v>
      </c>
      <c r="C21" s="16"/>
      <c r="D21" s="17" t="s">
        <v>1203</v>
      </c>
      <c r="E21" s="13"/>
      <c r="F21" s="23">
        <v>0</v>
      </c>
      <c r="G21" s="23">
        <v>0</v>
      </c>
      <c r="H21" s="23">
        <v>0</v>
      </c>
      <c r="I21" s="23"/>
      <c r="J21" s="23"/>
      <c r="L21">
        <v>2500</v>
      </c>
    </row>
    <row r="22" spans="1:12" ht="17.25">
      <c r="A22" s="86" t="s">
        <v>238</v>
      </c>
      <c r="B22" s="236"/>
      <c r="C22" s="237"/>
      <c r="D22" s="88" t="s">
        <v>1109</v>
      </c>
      <c r="E22" s="238" t="e">
        <f>SUM(#REF!+E15)</f>
        <v>#REF!</v>
      </c>
      <c r="F22" s="238">
        <f>SUM(F16:F21)</f>
        <v>1640</v>
      </c>
      <c r="G22" s="238">
        <f>SUM(G16:G21)</f>
        <v>1500</v>
      </c>
      <c r="H22" s="238">
        <f>SUM(H16:H21)</f>
        <v>1500</v>
      </c>
      <c r="I22" s="238">
        <f>SUM(I16:I21)</f>
        <v>1500</v>
      </c>
      <c r="J22" s="238">
        <f>SUM(J16:J21)</f>
        <v>1710</v>
      </c>
      <c r="L22" s="25">
        <f>SUM(L21+F7)</f>
        <v>3500</v>
      </c>
    </row>
    <row r="23" spans="1:10" ht="15">
      <c r="A23" s="14"/>
      <c r="B23" s="15" t="s">
        <v>42</v>
      </c>
      <c r="C23" s="16"/>
      <c r="D23" s="17" t="s">
        <v>34</v>
      </c>
      <c r="E23" s="13"/>
      <c r="F23" s="23">
        <v>0</v>
      </c>
      <c r="G23" s="23">
        <v>0</v>
      </c>
      <c r="H23" s="23">
        <v>0</v>
      </c>
      <c r="I23" s="23"/>
      <c r="J23" s="23"/>
    </row>
    <row r="24" spans="1:10" ht="17.25">
      <c r="A24" s="86" t="s">
        <v>270</v>
      </c>
      <c r="B24" s="236"/>
      <c r="C24" s="237"/>
      <c r="D24" s="88" t="s">
        <v>1214</v>
      </c>
      <c r="E24" s="238" t="e">
        <f>SUM(#REF!+E17)</f>
        <v>#REF!</v>
      </c>
      <c r="F24" s="238">
        <f>F23</f>
        <v>0</v>
      </c>
      <c r="G24" s="238">
        <f>G23</f>
        <v>0</v>
      </c>
      <c r="H24" s="238">
        <f>H23</f>
        <v>0</v>
      </c>
      <c r="I24" s="238">
        <f>I23</f>
        <v>0</v>
      </c>
      <c r="J24" s="238">
        <f>J23</f>
        <v>0</v>
      </c>
    </row>
    <row r="25" spans="1:10" ht="16.5">
      <c r="A25" s="33"/>
      <c r="B25" s="34" t="s">
        <v>19</v>
      </c>
      <c r="C25" s="42"/>
      <c r="D25" s="35" t="s">
        <v>43</v>
      </c>
      <c r="E25" s="32">
        <f>SUM(E26:E29)</f>
        <v>0</v>
      </c>
      <c r="F25" s="32"/>
      <c r="G25" s="32"/>
      <c r="H25" s="32"/>
      <c r="I25" s="32"/>
      <c r="J25" s="32"/>
    </row>
    <row r="26" spans="1:10" ht="16.5">
      <c r="A26" s="224"/>
      <c r="B26" s="34"/>
      <c r="C26" s="74" t="s">
        <v>20</v>
      </c>
      <c r="D26" s="35" t="s">
        <v>53</v>
      </c>
      <c r="E26" s="13"/>
      <c r="F26" s="23">
        <f>F27+F28</f>
        <v>0</v>
      </c>
      <c r="G26" s="23">
        <f>G27+G28</f>
        <v>0</v>
      </c>
      <c r="H26" s="23">
        <f>H27+H28</f>
        <v>0</v>
      </c>
      <c r="I26" s="23">
        <f>I27+I28</f>
        <v>0</v>
      </c>
      <c r="J26" s="23">
        <f>J27+J28</f>
        <v>0</v>
      </c>
    </row>
    <row r="27" spans="1:10" s="246" customFormat="1" ht="15.75">
      <c r="A27" s="240"/>
      <c r="B27" s="241"/>
      <c r="C27" s="242" t="s">
        <v>144</v>
      </c>
      <c r="D27" s="243" t="s">
        <v>1215</v>
      </c>
      <c r="E27" s="244"/>
      <c r="F27" s="245"/>
      <c r="G27" s="245"/>
      <c r="H27" s="245"/>
      <c r="I27" s="245"/>
      <c r="J27" s="245"/>
    </row>
    <row r="28" spans="1:10" s="246" customFormat="1" ht="15.75">
      <c r="A28" s="240"/>
      <c r="B28" s="241"/>
      <c r="C28" s="242" t="s">
        <v>186</v>
      </c>
      <c r="D28" s="243" t="s">
        <v>1218</v>
      </c>
      <c r="E28" s="244"/>
      <c r="F28" s="245"/>
      <c r="G28" s="245"/>
      <c r="H28" s="245"/>
      <c r="I28" s="245"/>
      <c r="J28" s="245"/>
    </row>
    <row r="29" spans="1:10" ht="16.5">
      <c r="A29" s="224"/>
      <c r="B29" s="34"/>
      <c r="C29" s="74" t="s">
        <v>44</v>
      </c>
      <c r="D29" s="35" t="s">
        <v>52</v>
      </c>
      <c r="E29" s="13"/>
      <c r="F29" s="23">
        <f>F30+F31</f>
        <v>0</v>
      </c>
      <c r="G29" s="23">
        <f>G30+G31</f>
        <v>0</v>
      </c>
      <c r="H29" s="23">
        <f>H30+H31</f>
        <v>0</v>
      </c>
      <c r="I29" s="23">
        <f>I30+I31</f>
        <v>0</v>
      </c>
      <c r="J29" s="23">
        <f>J30+J31</f>
        <v>0</v>
      </c>
    </row>
    <row r="30" spans="1:10" s="246" customFormat="1" ht="15.75">
      <c r="A30" s="240"/>
      <c r="B30" s="241"/>
      <c r="C30" s="242" t="s">
        <v>188</v>
      </c>
      <c r="D30" s="242" t="s">
        <v>1217</v>
      </c>
      <c r="E30" s="244"/>
      <c r="F30" s="245"/>
      <c r="G30" s="245"/>
      <c r="H30" s="245"/>
      <c r="I30" s="245"/>
      <c r="J30" s="245"/>
    </row>
    <row r="31" spans="1:10" s="246" customFormat="1" ht="15.75">
      <c r="A31" s="240"/>
      <c r="B31" s="241"/>
      <c r="C31" s="242" t="s">
        <v>1461</v>
      </c>
      <c r="D31" s="242" t="s">
        <v>1216</v>
      </c>
      <c r="E31" s="244"/>
      <c r="F31" s="245"/>
      <c r="G31" s="245"/>
      <c r="H31" s="245"/>
      <c r="I31" s="245"/>
      <c r="J31" s="245"/>
    </row>
    <row r="32" spans="1:10" ht="17.25">
      <c r="A32" s="86" t="s">
        <v>238</v>
      </c>
      <c r="B32" s="236"/>
      <c r="C32" s="237"/>
      <c r="D32" s="88" t="s">
        <v>1411</v>
      </c>
      <c r="E32" s="238" t="e">
        <f>SUM(#REF!+E21)</f>
        <v>#REF!</v>
      </c>
      <c r="F32" s="238">
        <f>F26+F29</f>
        <v>0</v>
      </c>
      <c r="G32" s="238">
        <f>G26+G29</f>
        <v>0</v>
      </c>
      <c r="H32" s="238">
        <f>H26+H29</f>
        <v>0</v>
      </c>
      <c r="I32" s="238">
        <f>I26+I29</f>
        <v>0</v>
      </c>
      <c r="J32" s="238">
        <f>J26+J29</f>
        <v>0</v>
      </c>
    </row>
    <row r="33" spans="1:10" ht="18.75">
      <c r="A33" s="36"/>
      <c r="B33" s="37"/>
      <c r="C33" s="38"/>
      <c r="D33" s="39" t="s">
        <v>47</v>
      </c>
      <c r="E33" s="40" t="e">
        <f>SUM(E15+#REF!)</f>
        <v>#REF!</v>
      </c>
      <c r="F33" s="40">
        <f>F24+F22+F32</f>
        <v>1640</v>
      </c>
      <c r="G33" s="40">
        <f>G24+G22+G32</f>
        <v>1500</v>
      </c>
      <c r="H33" s="40">
        <f>H24+H22+H32</f>
        <v>1500</v>
      </c>
      <c r="I33" s="40">
        <f>I24+I22+I32</f>
        <v>1500</v>
      </c>
      <c r="J33" s="40">
        <f>J24+J22+J32</f>
        <v>1710</v>
      </c>
    </row>
  </sheetData>
  <sheetProtection/>
  <mergeCells count="1">
    <mergeCell ref="A1:C1"/>
  </mergeCells>
  <printOptions horizontalCentered="1"/>
  <pageMargins left="0.1968503937007874" right="0.1968503937007874" top="1.1811023622047245" bottom="0.5905511811023623" header="0.35" footer="0.11811023622047245"/>
  <pageSetup firstPageNumber="62" useFirstPageNumber="1" horizontalDpi="600" verticalDpi="600" orientation="portrait" paperSize="9" r:id="rId1"/>
  <headerFooter alignWithMargins="0">
    <oddHeader>&amp;C&amp;"Times New Roman,Félkövér"&amp;14
Vecsés Város Cigány Kisebbségi Önkormányzat 2011. évi költségvetésének alakulásáról&amp;R3/e.sz. melléklet
ezer Ft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0">
      <selection activeCell="J18" sqref="J18"/>
    </sheetView>
  </sheetViews>
  <sheetFormatPr defaultColWidth="9.140625" defaultRowHeight="12.75"/>
  <cols>
    <col min="1" max="1" width="2.140625" style="0" customWidth="1"/>
    <col min="2" max="2" width="3.57421875" style="24" customWidth="1"/>
    <col min="3" max="3" width="6.57421875" style="24" customWidth="1"/>
    <col min="4" max="4" width="52.421875" style="0" customWidth="1"/>
    <col min="5" max="6" width="12.421875" style="0" hidden="1" customWidth="1"/>
    <col min="7" max="7" width="11.8515625" style="0" hidden="1" customWidth="1"/>
    <col min="8" max="8" width="12.421875" style="0" hidden="1" customWidth="1"/>
    <col min="9" max="9" width="11.8515625" style="0" hidden="1" customWidth="1"/>
    <col min="10" max="10" width="11.8515625" style="0" customWidth="1"/>
    <col min="11" max="12" width="0" style="0" hidden="1" customWidth="1"/>
  </cols>
  <sheetData>
    <row r="1" spans="1:10" ht="48" customHeight="1">
      <c r="A1" s="1076" t="s">
        <v>9</v>
      </c>
      <c r="B1" s="1076"/>
      <c r="C1" s="1076"/>
      <c r="D1" s="1" t="s">
        <v>10</v>
      </c>
      <c r="E1" s="1" t="s">
        <v>1405</v>
      </c>
      <c r="F1" s="1" t="s">
        <v>1445</v>
      </c>
      <c r="G1" s="204" t="s">
        <v>539</v>
      </c>
      <c r="H1" s="1" t="s">
        <v>1390</v>
      </c>
      <c r="I1" s="204" t="s">
        <v>1058</v>
      </c>
      <c r="J1" s="204" t="s">
        <v>1133</v>
      </c>
    </row>
    <row r="2" spans="1:10" ht="18.75">
      <c r="A2" s="14"/>
      <c r="B2" s="15"/>
      <c r="C2" s="16"/>
      <c r="D2" s="26" t="s">
        <v>13</v>
      </c>
      <c r="E2" s="18"/>
      <c r="F2" s="18"/>
      <c r="G2" s="18"/>
      <c r="H2" s="18"/>
      <c r="I2" s="18"/>
      <c r="J2" s="18"/>
    </row>
    <row r="3" spans="1:10" ht="19.5" customHeight="1">
      <c r="A3" s="27"/>
      <c r="B3" s="28" t="s">
        <v>14</v>
      </c>
      <c r="C3" s="29"/>
      <c r="D3" s="30" t="s">
        <v>15</v>
      </c>
      <c r="E3" s="31">
        <f>SUM(E5+E4)</f>
        <v>0</v>
      </c>
      <c r="F3" s="31"/>
      <c r="G3" s="31"/>
      <c r="H3" s="31"/>
      <c r="I3" s="31"/>
      <c r="J3" s="31"/>
    </row>
    <row r="4" spans="1:10" ht="19.5" customHeight="1">
      <c r="A4" s="66"/>
      <c r="B4" s="34" t="s">
        <v>16</v>
      </c>
      <c r="C4" s="74"/>
      <c r="D4" s="35" t="s">
        <v>48</v>
      </c>
      <c r="E4" s="32"/>
      <c r="F4" s="32">
        <v>0</v>
      </c>
      <c r="G4" s="32">
        <v>0</v>
      </c>
      <c r="H4" s="32">
        <v>0</v>
      </c>
      <c r="I4" s="32">
        <v>0</v>
      </c>
      <c r="J4" s="32"/>
    </row>
    <row r="5" spans="1:10" ht="16.5">
      <c r="A5" s="66"/>
      <c r="B5" s="34" t="s">
        <v>17</v>
      </c>
      <c r="C5" s="74"/>
      <c r="D5" s="35" t="s">
        <v>18</v>
      </c>
      <c r="E5" s="32"/>
      <c r="F5" s="32">
        <v>0</v>
      </c>
      <c r="G5" s="32">
        <v>0</v>
      </c>
      <c r="H5" s="32">
        <v>0</v>
      </c>
      <c r="I5" s="32">
        <v>0</v>
      </c>
      <c r="J5" s="32"/>
    </row>
    <row r="6" spans="1:10" ht="19.5" customHeight="1">
      <c r="A6" s="66"/>
      <c r="B6" s="34" t="s">
        <v>36</v>
      </c>
      <c r="C6" s="74"/>
      <c r="D6" s="35" t="s">
        <v>21</v>
      </c>
      <c r="E6" s="32">
        <f>SUM(E7+E8+E16)</f>
        <v>3140</v>
      </c>
      <c r="F6" s="32">
        <v>640</v>
      </c>
      <c r="G6" s="32"/>
      <c r="H6" s="32">
        <v>665</v>
      </c>
      <c r="I6" s="32">
        <v>0</v>
      </c>
      <c r="J6" s="32"/>
    </row>
    <row r="7" spans="1:10" ht="15" customHeight="1">
      <c r="A7" s="66"/>
      <c r="B7" s="34" t="s">
        <v>37</v>
      </c>
      <c r="C7" s="74"/>
      <c r="D7" s="35" t="s">
        <v>619</v>
      </c>
      <c r="E7" s="32"/>
      <c r="F7" s="32">
        <v>1000</v>
      </c>
      <c r="G7" s="32">
        <v>1500</v>
      </c>
      <c r="H7" s="32">
        <v>1500</v>
      </c>
      <c r="I7" s="32">
        <v>1500</v>
      </c>
      <c r="J7" s="32">
        <v>210</v>
      </c>
    </row>
    <row r="8" spans="1:10" ht="15" customHeight="1">
      <c r="A8" s="66"/>
      <c r="B8" s="34" t="s">
        <v>38</v>
      </c>
      <c r="C8" s="74"/>
      <c r="D8" s="35" t="s">
        <v>621</v>
      </c>
      <c r="E8" s="32"/>
      <c r="F8" s="32">
        <v>0</v>
      </c>
      <c r="G8" s="32">
        <v>0</v>
      </c>
      <c r="H8" s="32">
        <v>0</v>
      </c>
      <c r="I8" s="32">
        <v>0</v>
      </c>
      <c r="J8" s="32"/>
    </row>
    <row r="9" spans="1:10" ht="15" customHeight="1">
      <c r="A9" s="66"/>
      <c r="B9" s="34" t="s">
        <v>39</v>
      </c>
      <c r="C9" s="74"/>
      <c r="D9" s="35" t="s">
        <v>142</v>
      </c>
      <c r="E9" s="32"/>
      <c r="F9" s="32">
        <v>0</v>
      </c>
      <c r="G9" s="32">
        <v>0</v>
      </c>
      <c r="H9" s="32">
        <v>0</v>
      </c>
      <c r="I9" s="32">
        <v>0</v>
      </c>
      <c r="J9" s="32"/>
    </row>
    <row r="10" spans="1:10" ht="18" customHeight="1">
      <c r="A10" s="86" t="s">
        <v>238</v>
      </c>
      <c r="B10" s="236"/>
      <c r="C10" s="237"/>
      <c r="D10" s="88" t="s">
        <v>1104</v>
      </c>
      <c r="E10" s="238"/>
      <c r="F10" s="238">
        <f>SUM(F4:F9)</f>
        <v>1640</v>
      </c>
      <c r="G10" s="238">
        <f>SUM(G4:G9)</f>
        <v>1500</v>
      </c>
      <c r="H10" s="238">
        <f>SUM(H4:H9)</f>
        <v>2165</v>
      </c>
      <c r="I10" s="238">
        <f>SUM(I4:I9)</f>
        <v>1500</v>
      </c>
      <c r="J10" s="238">
        <f>SUM(J4:J9)</f>
        <v>210</v>
      </c>
    </row>
    <row r="11" spans="1:10" ht="21" customHeight="1">
      <c r="A11" s="66"/>
      <c r="B11" s="34" t="s">
        <v>42</v>
      </c>
      <c r="C11" s="74"/>
      <c r="D11" s="35" t="s">
        <v>635</v>
      </c>
      <c r="E11" s="32"/>
      <c r="F11" s="32">
        <v>0</v>
      </c>
      <c r="G11" s="32"/>
      <c r="H11" s="32">
        <v>45</v>
      </c>
      <c r="I11" s="32">
        <v>0</v>
      </c>
      <c r="J11" s="32"/>
    </row>
    <row r="12" spans="1:10" ht="21" customHeight="1">
      <c r="A12" s="86" t="s">
        <v>270</v>
      </c>
      <c r="B12" s="236"/>
      <c r="C12" s="237"/>
      <c r="D12" s="88" t="s">
        <v>1213</v>
      </c>
      <c r="E12" s="238" t="e">
        <f>SUM(#REF!+E5)</f>
        <v>#REF!</v>
      </c>
      <c r="F12" s="238">
        <f>F11</f>
        <v>0</v>
      </c>
      <c r="G12" s="238">
        <f>G11</f>
        <v>0</v>
      </c>
      <c r="H12" s="238">
        <f>H11</f>
        <v>45</v>
      </c>
      <c r="I12" s="238">
        <f>I11</f>
        <v>0</v>
      </c>
      <c r="J12" s="238"/>
    </row>
    <row r="13" spans="1:10" ht="19.5" customHeight="1">
      <c r="A13" s="36"/>
      <c r="B13" s="37"/>
      <c r="C13" s="38"/>
      <c r="D13" s="39" t="s">
        <v>31</v>
      </c>
      <c r="E13" s="40" t="e">
        <f>SUM(#REF!)</f>
        <v>#REF!</v>
      </c>
      <c r="F13" s="40">
        <f>F10+F12</f>
        <v>1640</v>
      </c>
      <c r="G13" s="40">
        <f>G10+G12</f>
        <v>1500</v>
      </c>
      <c r="H13" s="40">
        <f>H10+H12</f>
        <v>2210</v>
      </c>
      <c r="I13" s="40">
        <f>I10+I12</f>
        <v>1500</v>
      </c>
      <c r="J13" s="40">
        <f>J10+J12</f>
        <v>210</v>
      </c>
    </row>
    <row r="14" spans="1:10" ht="21" customHeight="1">
      <c r="A14" s="14"/>
      <c r="B14" s="15"/>
      <c r="C14" s="16"/>
      <c r="D14" s="26" t="s">
        <v>32</v>
      </c>
      <c r="E14" s="18"/>
      <c r="F14" s="18"/>
      <c r="G14" s="18"/>
      <c r="H14" s="18"/>
      <c r="I14" s="18"/>
      <c r="J14" s="18"/>
    </row>
    <row r="15" spans="1:10" ht="19.5" customHeight="1">
      <c r="A15" s="27"/>
      <c r="B15" s="28" t="s">
        <v>14</v>
      </c>
      <c r="C15" s="29"/>
      <c r="D15" s="30" t="s">
        <v>33</v>
      </c>
      <c r="E15" s="31">
        <f>SUM(E16+E17+E18+E19+E20)</f>
        <v>6280</v>
      </c>
      <c r="F15" s="31"/>
      <c r="G15" s="31"/>
      <c r="H15" s="31"/>
      <c r="I15" s="31"/>
      <c r="J15" s="31">
        <f>SUM(J16:J21)</f>
        <v>210</v>
      </c>
    </row>
    <row r="16" spans="1:10" ht="21.75" customHeight="1">
      <c r="A16" s="4"/>
      <c r="B16" s="20" t="s">
        <v>16</v>
      </c>
      <c r="C16" s="21"/>
      <c r="D16" s="22" t="s">
        <v>251</v>
      </c>
      <c r="E16" s="23">
        <f>SUM(E17:E18)</f>
        <v>3140</v>
      </c>
      <c r="F16" s="23">
        <v>0</v>
      </c>
      <c r="G16" s="23">
        <v>0</v>
      </c>
      <c r="H16" s="23">
        <v>0</v>
      </c>
      <c r="I16" s="23"/>
      <c r="J16" s="23"/>
    </row>
    <row r="17" spans="1:10" ht="15">
      <c r="A17" s="9"/>
      <c r="B17" s="15" t="s">
        <v>17</v>
      </c>
      <c r="C17" s="16"/>
      <c r="D17" s="17" t="s">
        <v>35</v>
      </c>
      <c r="E17" s="13"/>
      <c r="F17" s="23">
        <v>0</v>
      </c>
      <c r="G17" s="23">
        <v>0</v>
      </c>
      <c r="H17" s="23">
        <v>0</v>
      </c>
      <c r="I17" s="23"/>
      <c r="J17" s="23"/>
    </row>
    <row r="18" spans="1:10" ht="15">
      <c r="A18" s="9"/>
      <c r="B18" s="15" t="s">
        <v>36</v>
      </c>
      <c r="C18" s="16"/>
      <c r="D18" s="17" t="s">
        <v>552</v>
      </c>
      <c r="E18" s="13">
        <v>3140</v>
      </c>
      <c r="F18" s="23">
        <v>1640</v>
      </c>
      <c r="G18" s="23">
        <v>1500</v>
      </c>
      <c r="H18" s="23">
        <v>1500</v>
      </c>
      <c r="I18" s="23">
        <v>1500</v>
      </c>
      <c r="J18" s="23">
        <v>210</v>
      </c>
    </row>
    <row r="19" spans="1:10" ht="15">
      <c r="A19" s="14"/>
      <c r="B19" s="15" t="s">
        <v>37</v>
      </c>
      <c r="C19" s="16"/>
      <c r="D19" s="17" t="s">
        <v>553</v>
      </c>
      <c r="E19" s="13"/>
      <c r="F19" s="23">
        <v>0</v>
      </c>
      <c r="G19" s="23">
        <v>0</v>
      </c>
      <c r="H19" s="23">
        <v>0</v>
      </c>
      <c r="I19" s="23"/>
      <c r="J19" s="23"/>
    </row>
    <row r="20" spans="1:10" ht="15">
      <c r="A20" s="14"/>
      <c r="B20" s="15" t="s">
        <v>38</v>
      </c>
      <c r="C20" s="16"/>
      <c r="D20" s="17" t="s">
        <v>1179</v>
      </c>
      <c r="E20" s="13"/>
      <c r="F20" s="23">
        <v>0</v>
      </c>
      <c r="G20" s="23">
        <v>0</v>
      </c>
      <c r="H20" s="23">
        <v>0</v>
      </c>
      <c r="I20" s="23"/>
      <c r="J20" s="23"/>
    </row>
    <row r="21" spans="1:12" ht="15">
      <c r="A21" s="14"/>
      <c r="B21" s="15" t="s">
        <v>39</v>
      </c>
      <c r="C21" s="16"/>
      <c r="D21" s="17" t="s">
        <v>1203</v>
      </c>
      <c r="E21" s="13"/>
      <c r="F21" s="23">
        <v>0</v>
      </c>
      <c r="G21" s="23">
        <v>0</v>
      </c>
      <c r="H21" s="23">
        <v>0</v>
      </c>
      <c r="I21" s="23"/>
      <c r="J21" s="23"/>
      <c r="L21">
        <v>2500</v>
      </c>
    </row>
    <row r="22" spans="1:12" ht="17.25">
      <c r="A22" s="86" t="s">
        <v>238</v>
      </c>
      <c r="B22" s="236"/>
      <c r="C22" s="237"/>
      <c r="D22" s="88" t="s">
        <v>1109</v>
      </c>
      <c r="E22" s="238" t="e">
        <f>SUM(#REF!+E15)</f>
        <v>#REF!</v>
      </c>
      <c r="F22" s="238">
        <f>SUM(F16:F21)</f>
        <v>1640</v>
      </c>
      <c r="G22" s="238">
        <f>SUM(G16:G21)</f>
        <v>1500</v>
      </c>
      <c r="H22" s="238">
        <f>SUM(H16:H21)</f>
        <v>1500</v>
      </c>
      <c r="I22" s="238">
        <f>SUM(I16:I21)</f>
        <v>1500</v>
      </c>
      <c r="J22" s="238"/>
      <c r="L22" s="25">
        <f>SUM(L21+F7)</f>
        <v>3500</v>
      </c>
    </row>
    <row r="23" spans="1:10" ht="15">
      <c r="A23" s="14"/>
      <c r="B23" s="15" t="s">
        <v>42</v>
      </c>
      <c r="C23" s="16"/>
      <c r="D23" s="17" t="s">
        <v>34</v>
      </c>
      <c r="E23" s="13"/>
      <c r="F23" s="23">
        <v>0</v>
      </c>
      <c r="G23" s="23">
        <v>0</v>
      </c>
      <c r="H23" s="23">
        <v>0</v>
      </c>
      <c r="I23" s="23"/>
      <c r="J23" s="23"/>
    </row>
    <row r="24" spans="1:10" ht="17.25">
      <c r="A24" s="86" t="s">
        <v>270</v>
      </c>
      <c r="B24" s="236"/>
      <c r="C24" s="237"/>
      <c r="D24" s="88" t="s">
        <v>1214</v>
      </c>
      <c r="E24" s="238" t="e">
        <f>SUM(#REF!+E17)</f>
        <v>#REF!</v>
      </c>
      <c r="F24" s="238">
        <f>F23</f>
        <v>0</v>
      </c>
      <c r="G24" s="238">
        <f>G23</f>
        <v>0</v>
      </c>
      <c r="H24" s="238">
        <f>H23</f>
        <v>0</v>
      </c>
      <c r="I24" s="238">
        <f>I23</f>
        <v>0</v>
      </c>
      <c r="J24" s="238">
        <f>J23</f>
        <v>0</v>
      </c>
    </row>
    <row r="25" spans="1:10" ht="17.25">
      <c r="A25" s="33"/>
      <c r="B25" s="34" t="s">
        <v>19</v>
      </c>
      <c r="C25" s="42"/>
      <c r="D25" s="35" t="s">
        <v>43</v>
      </c>
      <c r="E25" s="32">
        <f>SUM(E26:E29)</f>
        <v>0</v>
      </c>
      <c r="F25" s="32"/>
      <c r="G25" s="32"/>
      <c r="H25" s="32"/>
      <c r="I25" s="32"/>
      <c r="J25" s="238"/>
    </row>
    <row r="26" spans="1:10" ht="17.25">
      <c r="A26" s="224"/>
      <c r="B26" s="34"/>
      <c r="C26" s="74" t="s">
        <v>20</v>
      </c>
      <c r="D26" s="35" t="s">
        <v>53</v>
      </c>
      <c r="E26" s="13"/>
      <c r="F26" s="23">
        <f>F27+F28</f>
        <v>0</v>
      </c>
      <c r="G26" s="23">
        <f>G27+G28</f>
        <v>0</v>
      </c>
      <c r="H26" s="23">
        <f>H27+H28</f>
        <v>0</v>
      </c>
      <c r="I26" s="23">
        <f>I27+I28</f>
        <v>0</v>
      </c>
      <c r="J26" s="238">
        <f>J27+J28</f>
        <v>0</v>
      </c>
    </row>
    <row r="27" spans="1:10" s="246" customFormat="1" ht="17.25">
      <c r="A27" s="240"/>
      <c r="B27" s="241"/>
      <c r="C27" s="242" t="s">
        <v>144</v>
      </c>
      <c r="D27" s="243" t="s">
        <v>1215</v>
      </c>
      <c r="E27" s="244"/>
      <c r="F27" s="245"/>
      <c r="G27" s="245"/>
      <c r="H27" s="245"/>
      <c r="I27" s="245"/>
      <c r="J27" s="238"/>
    </row>
    <row r="28" spans="1:10" s="246" customFormat="1" ht="17.25">
      <c r="A28" s="240"/>
      <c r="B28" s="241"/>
      <c r="C28" s="242" t="s">
        <v>186</v>
      </c>
      <c r="D28" s="243" t="s">
        <v>1218</v>
      </c>
      <c r="E28" s="244"/>
      <c r="F28" s="245"/>
      <c r="G28" s="245"/>
      <c r="H28" s="245"/>
      <c r="I28" s="245"/>
      <c r="J28" s="238"/>
    </row>
    <row r="29" spans="1:10" ht="17.25">
      <c r="A29" s="224"/>
      <c r="B29" s="34"/>
      <c r="C29" s="74" t="s">
        <v>44</v>
      </c>
      <c r="D29" s="35" t="s">
        <v>52</v>
      </c>
      <c r="E29" s="13"/>
      <c r="F29" s="23">
        <f>F30+F31</f>
        <v>0</v>
      </c>
      <c r="G29" s="23">
        <f>G30+G31</f>
        <v>0</v>
      </c>
      <c r="H29" s="23">
        <f>H30+H31</f>
        <v>0</v>
      </c>
      <c r="I29" s="23">
        <f>I30+I31</f>
        <v>0</v>
      </c>
      <c r="J29" s="238">
        <f>J30+J31</f>
        <v>0</v>
      </c>
    </row>
    <row r="30" spans="1:10" s="246" customFormat="1" ht="17.25">
      <c r="A30" s="240"/>
      <c r="B30" s="241"/>
      <c r="C30" s="242" t="s">
        <v>188</v>
      </c>
      <c r="D30" s="242" t="s">
        <v>1217</v>
      </c>
      <c r="E30" s="244"/>
      <c r="F30" s="245"/>
      <c r="G30" s="245"/>
      <c r="H30" s="245"/>
      <c r="I30" s="245"/>
      <c r="J30" s="238"/>
    </row>
    <row r="31" spans="1:10" s="246" customFormat="1" ht="17.25">
      <c r="A31" s="240"/>
      <c r="B31" s="241"/>
      <c r="C31" s="242" t="s">
        <v>1461</v>
      </c>
      <c r="D31" s="242" t="s">
        <v>1216</v>
      </c>
      <c r="E31" s="244"/>
      <c r="F31" s="245"/>
      <c r="G31" s="245"/>
      <c r="H31" s="245"/>
      <c r="I31" s="245"/>
      <c r="J31" s="238"/>
    </row>
    <row r="32" spans="1:10" ht="17.25">
      <c r="A32" s="86" t="s">
        <v>238</v>
      </c>
      <c r="B32" s="236"/>
      <c r="C32" s="237"/>
      <c r="D32" s="88" t="s">
        <v>1411</v>
      </c>
      <c r="E32" s="238" t="e">
        <f>SUM(#REF!+E21)</f>
        <v>#REF!</v>
      </c>
      <c r="F32" s="238">
        <f>F26+F29</f>
        <v>0</v>
      </c>
      <c r="G32" s="238">
        <f>G26+G29</f>
        <v>0</v>
      </c>
      <c r="H32" s="238">
        <f>H26+H29</f>
        <v>0</v>
      </c>
      <c r="I32" s="238">
        <f>I26+I29</f>
        <v>0</v>
      </c>
      <c r="J32" s="238">
        <f>J26+J29</f>
        <v>0</v>
      </c>
    </row>
    <row r="33" spans="1:10" ht="18.75">
      <c r="A33" s="36"/>
      <c r="B33" s="37"/>
      <c r="C33" s="38"/>
      <c r="D33" s="39" t="s">
        <v>47</v>
      </c>
      <c r="E33" s="40" t="e">
        <f>SUM(E15+#REF!)</f>
        <v>#REF!</v>
      </c>
      <c r="F33" s="40">
        <f>F24+F22+F32</f>
        <v>1640</v>
      </c>
      <c r="G33" s="40">
        <f>G24+G22+G32</f>
        <v>1500</v>
      </c>
      <c r="H33" s="40">
        <f>H24+H22+H32</f>
        <v>1500</v>
      </c>
      <c r="I33" s="40">
        <f>I24+I22+I32</f>
        <v>1500</v>
      </c>
      <c r="J33" s="40">
        <f>J24+J22+J32+J15</f>
        <v>210</v>
      </c>
    </row>
  </sheetData>
  <sheetProtection/>
  <mergeCells count="1">
    <mergeCell ref="A1:C1"/>
  </mergeCells>
  <printOptions horizontalCentered="1"/>
  <pageMargins left="0.1968503937007874" right="0.1968503937007874" top="1.1811023622047245" bottom="0.5905511811023623" header="0.3937007874015748" footer="0.11811023622047245"/>
  <pageSetup firstPageNumber="63" useFirstPageNumber="1" horizontalDpi="600" verticalDpi="600" orientation="portrait" paperSize="9" r:id="rId1"/>
  <headerFooter alignWithMargins="0">
    <oddHeader>&amp;C&amp;"Times New Roman,Félkövér"&amp;14
Vecsés Város Ruszin Kisebbségi Önkormányzat 2011. évi költségvetésének alakulásáról&amp;R3/f.sz. melléklet
ezer Ft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0"/>
  <sheetViews>
    <sheetView view="pageBreakPreview" zoomScale="130" zoomScaleSheetLayoutView="130" zoomScalePageLayoutView="0" workbookViewId="0" topLeftCell="A135">
      <selection activeCell="K218" sqref="K218"/>
    </sheetView>
  </sheetViews>
  <sheetFormatPr defaultColWidth="9.140625" defaultRowHeight="12.75"/>
  <cols>
    <col min="1" max="1" width="2.140625" style="0" customWidth="1"/>
    <col min="2" max="2" width="2.57421875" style="0" customWidth="1"/>
    <col min="3" max="3" width="8.8515625" style="155" customWidth="1"/>
    <col min="4" max="4" width="49.57421875" style="0" customWidth="1"/>
    <col min="5" max="6" width="11.421875" style="25" hidden="1" customWidth="1"/>
    <col min="7" max="7" width="11.28125" style="25" hidden="1" customWidth="1"/>
    <col min="8" max="8" width="11.7109375" style="25" hidden="1" customWidth="1"/>
    <col min="9" max="10" width="11.8515625" style="25" hidden="1" customWidth="1"/>
    <col min="11" max="11" width="11.8515625" style="25" customWidth="1"/>
  </cols>
  <sheetData>
    <row r="1" spans="1:11" ht="46.5" customHeight="1" thickBot="1">
      <c r="A1" s="1132" t="s">
        <v>9</v>
      </c>
      <c r="B1" s="1132"/>
      <c r="C1" s="1132"/>
      <c r="D1" s="59" t="s">
        <v>1383</v>
      </c>
      <c r="E1" s="204" t="s">
        <v>683</v>
      </c>
      <c r="F1" s="204" t="s">
        <v>1110</v>
      </c>
      <c r="G1" s="204" t="s">
        <v>539</v>
      </c>
      <c r="H1" s="204" t="s">
        <v>1390</v>
      </c>
      <c r="I1" s="204" t="s">
        <v>1058</v>
      </c>
      <c r="J1" s="204" t="s">
        <v>913</v>
      </c>
      <c r="K1" s="204" t="s">
        <v>1133</v>
      </c>
    </row>
    <row r="2" spans="1:11" ht="18" thickBot="1" thickTop="1">
      <c r="A2" s="63" t="s">
        <v>327</v>
      </c>
      <c r="B2" s="64"/>
      <c r="C2" s="201"/>
      <c r="D2" s="307" t="s">
        <v>328</v>
      </c>
      <c r="E2" s="307"/>
      <c r="F2" s="307"/>
      <c r="G2" s="307"/>
      <c r="H2" s="307"/>
      <c r="I2" s="307"/>
      <c r="J2" s="307"/>
      <c r="K2" s="308"/>
    </row>
    <row r="3" spans="1:11" ht="17.25" thickTop="1">
      <c r="A3" s="33"/>
      <c r="B3" s="65"/>
      <c r="C3" s="15"/>
      <c r="D3" s="312" t="s">
        <v>329</v>
      </c>
      <c r="E3" s="313"/>
      <c r="F3" s="313"/>
      <c r="G3" s="313"/>
      <c r="H3" s="313"/>
      <c r="I3" s="313"/>
      <c r="J3" s="313"/>
      <c r="K3" s="314"/>
    </row>
    <row r="4" spans="1:11" ht="16.5">
      <c r="A4" s="66"/>
      <c r="B4" s="65" t="s">
        <v>14</v>
      </c>
      <c r="C4" s="10"/>
      <c r="D4" s="253" t="s">
        <v>240</v>
      </c>
      <c r="E4" s="306"/>
      <c r="F4" s="306"/>
      <c r="G4" s="306"/>
      <c r="H4" s="306"/>
      <c r="I4" s="306"/>
      <c r="J4" s="306"/>
      <c r="K4" s="67"/>
    </row>
    <row r="5" spans="1:11" ht="16.5">
      <c r="A5" s="66"/>
      <c r="B5" s="68"/>
      <c r="C5" s="15" t="s">
        <v>16</v>
      </c>
      <c r="D5" s="12" t="s">
        <v>623</v>
      </c>
      <c r="E5" s="13"/>
      <c r="F5" s="13"/>
      <c r="G5" s="13">
        <v>0</v>
      </c>
      <c r="H5" s="13">
        <v>0</v>
      </c>
      <c r="I5" s="13">
        <v>0</v>
      </c>
      <c r="J5" s="13">
        <v>0</v>
      </c>
      <c r="K5" s="13"/>
    </row>
    <row r="6" spans="1:11" ht="15" customHeight="1">
      <c r="A6" s="66"/>
      <c r="B6" s="68"/>
      <c r="C6" s="15" t="s">
        <v>17</v>
      </c>
      <c r="D6" s="12" t="s">
        <v>1209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16.5">
      <c r="A7" s="66"/>
      <c r="B7" s="68"/>
      <c r="C7" s="15" t="s">
        <v>36</v>
      </c>
      <c r="D7" s="12" t="s">
        <v>243</v>
      </c>
      <c r="E7" s="13">
        <f aca="true" t="shared" si="0" ref="E7:K7">SUM(E8)</f>
        <v>0</v>
      </c>
      <c r="F7" s="13">
        <f t="shared" si="0"/>
        <v>0</v>
      </c>
      <c r="G7" s="13">
        <f t="shared" si="0"/>
        <v>41309</v>
      </c>
      <c r="H7" s="13">
        <f t="shared" si="0"/>
        <v>43965</v>
      </c>
      <c r="I7" s="13">
        <f t="shared" si="0"/>
        <v>0</v>
      </c>
      <c r="J7" s="13">
        <f t="shared" si="0"/>
        <v>0</v>
      </c>
      <c r="K7" s="13">
        <f t="shared" si="0"/>
        <v>38122</v>
      </c>
    </row>
    <row r="8" spans="1:11" s="52" customFormat="1" ht="16.5">
      <c r="A8" s="174"/>
      <c r="B8" s="175"/>
      <c r="C8" s="51" t="s">
        <v>124</v>
      </c>
      <c r="D8" s="47" t="s">
        <v>244</v>
      </c>
      <c r="E8" s="48">
        <f aca="true" t="shared" si="1" ref="E8:J8">SUM(E9+E14+E19)</f>
        <v>0</v>
      </c>
      <c r="F8" s="48">
        <f t="shared" si="1"/>
        <v>0</v>
      </c>
      <c r="G8" s="48">
        <f t="shared" si="1"/>
        <v>41309</v>
      </c>
      <c r="H8" s="48">
        <f t="shared" si="1"/>
        <v>43965</v>
      </c>
      <c r="I8" s="48">
        <f t="shared" si="1"/>
        <v>0</v>
      </c>
      <c r="J8" s="48">
        <f t="shared" si="1"/>
        <v>0</v>
      </c>
      <c r="K8" s="48">
        <f>SUM(K9+K14+K19)</f>
        <v>38122</v>
      </c>
    </row>
    <row r="9" spans="1:11" ht="16.5">
      <c r="A9" s="66"/>
      <c r="B9" s="68"/>
      <c r="C9" s="10" t="s">
        <v>72</v>
      </c>
      <c r="D9" s="247" t="s">
        <v>664</v>
      </c>
      <c r="E9" s="13">
        <f>SUM(E10:E13)</f>
        <v>0</v>
      </c>
      <c r="F9" s="13">
        <f>SUM(F10:F13)</f>
        <v>0</v>
      </c>
      <c r="G9" s="13">
        <f>SUM(G10:G13)</f>
        <v>19155</v>
      </c>
      <c r="H9" s="13">
        <f>SUM(H10:H13)</f>
        <v>19155</v>
      </c>
      <c r="I9" s="13"/>
      <c r="J9" s="13">
        <f>SUM(J10:J13)</f>
        <v>0</v>
      </c>
      <c r="K9" s="13">
        <f>SUM(K10:K13)</f>
        <v>20314</v>
      </c>
    </row>
    <row r="10" spans="1:11" ht="16.5">
      <c r="A10" s="66"/>
      <c r="B10" s="68"/>
      <c r="C10" s="10" t="s">
        <v>73</v>
      </c>
      <c r="D10" s="248" t="s">
        <v>658</v>
      </c>
      <c r="E10" s="13"/>
      <c r="F10" s="13"/>
      <c r="G10" s="13">
        <v>7656</v>
      </c>
      <c r="H10" s="13">
        <v>7656</v>
      </c>
      <c r="I10" s="49"/>
      <c r="J10" s="13"/>
      <c r="K10" s="13">
        <v>8016</v>
      </c>
    </row>
    <row r="11" spans="1:11" ht="16.5">
      <c r="A11" s="66"/>
      <c r="B11" s="68"/>
      <c r="C11" s="10" t="s">
        <v>657</v>
      </c>
      <c r="D11" s="248" t="s">
        <v>661</v>
      </c>
      <c r="E11" s="13"/>
      <c r="F11" s="13"/>
      <c r="G11" s="13">
        <v>1382</v>
      </c>
      <c r="H11" s="13">
        <v>1382</v>
      </c>
      <c r="I11" s="49"/>
      <c r="J11" s="13"/>
      <c r="K11" s="13">
        <v>1450</v>
      </c>
    </row>
    <row r="12" spans="1:11" ht="16.5">
      <c r="A12" s="66"/>
      <c r="B12" s="68"/>
      <c r="C12" s="10" t="s">
        <v>659</v>
      </c>
      <c r="D12" s="248" t="s">
        <v>662</v>
      </c>
      <c r="E12" s="13"/>
      <c r="F12" s="13"/>
      <c r="G12" s="13">
        <v>5905</v>
      </c>
      <c r="H12" s="13">
        <v>5905</v>
      </c>
      <c r="I12" s="49"/>
      <c r="J12" s="13"/>
      <c r="K12" s="13">
        <v>6317</v>
      </c>
    </row>
    <row r="13" spans="1:11" ht="16.5">
      <c r="A13" s="66"/>
      <c r="B13" s="68"/>
      <c r="C13" s="10" t="s">
        <v>660</v>
      </c>
      <c r="D13" s="248" t="s">
        <v>663</v>
      </c>
      <c r="E13" s="13"/>
      <c r="F13" s="13"/>
      <c r="G13" s="13">
        <v>4212</v>
      </c>
      <c r="H13" s="13">
        <v>4212</v>
      </c>
      <c r="I13" s="49"/>
      <c r="J13" s="13"/>
      <c r="K13" s="13">
        <v>4531</v>
      </c>
    </row>
    <row r="14" spans="1:11" ht="16.5">
      <c r="A14" s="66"/>
      <c r="B14" s="68"/>
      <c r="C14" s="10" t="s">
        <v>1464</v>
      </c>
      <c r="D14" s="247" t="s">
        <v>665</v>
      </c>
      <c r="E14" s="13">
        <f aca="true" t="shared" si="2" ref="E14:J14">SUM(E15:E18)</f>
        <v>0</v>
      </c>
      <c r="F14" s="13">
        <f t="shared" si="2"/>
        <v>0</v>
      </c>
      <c r="G14" s="13">
        <f t="shared" si="2"/>
        <v>14548</v>
      </c>
      <c r="H14" s="13">
        <f t="shared" si="2"/>
        <v>14548</v>
      </c>
      <c r="I14" s="13">
        <f t="shared" si="2"/>
        <v>0</v>
      </c>
      <c r="J14" s="13">
        <f t="shared" si="2"/>
        <v>0</v>
      </c>
      <c r="K14" s="13">
        <f>SUM(K15:K18)</f>
        <v>14811</v>
      </c>
    </row>
    <row r="15" spans="1:11" ht="16.5">
      <c r="A15" s="66"/>
      <c r="B15" s="68"/>
      <c r="C15" s="10" t="s">
        <v>666</v>
      </c>
      <c r="D15" s="248" t="s">
        <v>658</v>
      </c>
      <c r="E15" s="13"/>
      <c r="F15" s="13"/>
      <c r="G15" s="13">
        <v>5815</v>
      </c>
      <c r="H15" s="13">
        <v>5815</v>
      </c>
      <c r="I15" s="49"/>
      <c r="J15" s="13"/>
      <c r="K15" s="13">
        <v>5844</v>
      </c>
    </row>
    <row r="16" spans="1:11" ht="16.5">
      <c r="A16" s="66"/>
      <c r="B16" s="68"/>
      <c r="C16" s="10" t="s">
        <v>667</v>
      </c>
      <c r="D16" s="248" t="s">
        <v>661</v>
      </c>
      <c r="E16" s="13"/>
      <c r="F16" s="13"/>
      <c r="G16" s="13">
        <v>1049</v>
      </c>
      <c r="H16" s="13">
        <v>1049</v>
      </c>
      <c r="I16" s="49"/>
      <c r="J16" s="13"/>
      <c r="K16" s="13">
        <v>1057</v>
      </c>
    </row>
    <row r="17" spans="1:11" ht="16.5">
      <c r="A17" s="66"/>
      <c r="B17" s="68"/>
      <c r="C17" s="10" t="s">
        <v>668</v>
      </c>
      <c r="D17" s="248" t="s">
        <v>662</v>
      </c>
      <c r="E17" s="13"/>
      <c r="F17" s="13"/>
      <c r="G17" s="13">
        <v>4485</v>
      </c>
      <c r="H17" s="13">
        <v>4485</v>
      </c>
      <c r="I17" s="49"/>
      <c r="J17" s="13"/>
      <c r="K17" s="13">
        <v>4606</v>
      </c>
    </row>
    <row r="18" spans="1:11" ht="16.5">
      <c r="A18" s="66"/>
      <c r="B18" s="68"/>
      <c r="C18" s="10" t="s">
        <v>669</v>
      </c>
      <c r="D18" s="248" t="s">
        <v>663</v>
      </c>
      <c r="E18" s="13"/>
      <c r="F18" s="13"/>
      <c r="G18" s="13">
        <v>3199</v>
      </c>
      <c r="H18" s="13">
        <v>3199</v>
      </c>
      <c r="I18" s="49"/>
      <c r="J18" s="13"/>
      <c r="K18" s="13">
        <v>3304</v>
      </c>
    </row>
    <row r="19" spans="1:11" ht="16.5">
      <c r="A19" s="66"/>
      <c r="B19" s="68"/>
      <c r="C19" s="10" t="s">
        <v>496</v>
      </c>
      <c r="D19" s="247" t="s">
        <v>670</v>
      </c>
      <c r="E19" s="13">
        <f aca="true" t="shared" si="3" ref="E19:K19">SUM(E20:E20)</f>
        <v>0</v>
      </c>
      <c r="F19" s="13">
        <f t="shared" si="3"/>
        <v>0</v>
      </c>
      <c r="G19" s="13">
        <f t="shared" si="3"/>
        <v>7606</v>
      </c>
      <c r="H19" s="13">
        <f t="shared" si="3"/>
        <v>10262</v>
      </c>
      <c r="I19" s="13">
        <f t="shared" si="3"/>
        <v>0</v>
      </c>
      <c r="J19" s="13">
        <f t="shared" si="3"/>
        <v>0</v>
      </c>
      <c r="K19" s="13">
        <f t="shared" si="3"/>
        <v>2997</v>
      </c>
    </row>
    <row r="20" spans="1:11" ht="16.5">
      <c r="A20" s="66"/>
      <c r="B20" s="68"/>
      <c r="C20" s="10" t="s">
        <v>671</v>
      </c>
      <c r="D20" s="248" t="s">
        <v>658</v>
      </c>
      <c r="E20" s="13"/>
      <c r="F20" s="13"/>
      <c r="G20" s="13">
        <v>7606</v>
      </c>
      <c r="H20" s="13">
        <v>10262</v>
      </c>
      <c r="I20" s="49"/>
      <c r="J20" s="13"/>
      <c r="K20" s="13">
        <v>2997</v>
      </c>
    </row>
    <row r="21" spans="1:11" ht="16.5">
      <c r="A21" s="66"/>
      <c r="B21" s="68"/>
      <c r="C21" s="15" t="s">
        <v>37</v>
      </c>
      <c r="D21" s="12" t="s">
        <v>231</v>
      </c>
      <c r="E21" s="13">
        <f>SUM(E22:E22)</f>
        <v>0</v>
      </c>
      <c r="F21" s="13">
        <f>SUM(F22:F22)</f>
        <v>0</v>
      </c>
      <c r="G21" s="13">
        <f>SUM(G22:G22)</f>
        <v>473</v>
      </c>
      <c r="H21" s="13">
        <f>SUM(H22:H22)</f>
        <v>474</v>
      </c>
      <c r="I21" s="13"/>
      <c r="J21" s="13">
        <f>SUM(J22:J22)</f>
        <v>0</v>
      </c>
      <c r="K21" s="13">
        <f>SUM(K22:K23)</f>
        <v>0</v>
      </c>
    </row>
    <row r="22" spans="1:15" ht="16.5">
      <c r="A22" s="66"/>
      <c r="B22" s="68"/>
      <c r="C22" s="10"/>
      <c r="D22" s="248" t="s">
        <v>662</v>
      </c>
      <c r="E22" s="13"/>
      <c r="F22" s="13"/>
      <c r="G22" s="13">
        <v>473</v>
      </c>
      <c r="H22" s="13">
        <v>474</v>
      </c>
      <c r="I22" s="13"/>
      <c r="J22" s="13"/>
      <c r="K22" s="13"/>
      <c r="O22" s="25"/>
    </row>
    <row r="23" spans="1:15" ht="16.5">
      <c r="A23" s="66"/>
      <c r="B23" s="68"/>
      <c r="C23" s="10"/>
      <c r="D23" s="248" t="s">
        <v>663</v>
      </c>
      <c r="E23" s="13"/>
      <c r="F23" s="13"/>
      <c r="G23" s="13"/>
      <c r="H23" s="13"/>
      <c r="I23" s="13"/>
      <c r="J23" s="13"/>
      <c r="K23" s="13"/>
      <c r="N23" s="25">
        <f>SUM(K46-K24)</f>
        <v>0</v>
      </c>
      <c r="O23" s="25"/>
    </row>
    <row r="24" spans="1:15" ht="16.5">
      <c r="A24" s="66"/>
      <c r="B24" s="68"/>
      <c r="C24" s="10"/>
      <c r="D24" s="69" t="s">
        <v>248</v>
      </c>
      <c r="E24" s="41">
        <f aca="true" t="shared" si="4" ref="E24:J24">SUM(E5+E7+E6+E21)</f>
        <v>0</v>
      </c>
      <c r="F24" s="41">
        <f t="shared" si="4"/>
        <v>0</v>
      </c>
      <c r="G24" s="41">
        <f t="shared" si="4"/>
        <v>41782</v>
      </c>
      <c r="H24" s="41">
        <f t="shared" si="4"/>
        <v>44439</v>
      </c>
      <c r="I24" s="41">
        <f t="shared" si="4"/>
        <v>0</v>
      </c>
      <c r="J24" s="41">
        <f t="shared" si="4"/>
        <v>0</v>
      </c>
      <c r="K24" s="41">
        <f>SUM(K5+K7+K6+K21)</f>
        <v>38122</v>
      </c>
      <c r="O24" s="25"/>
    </row>
    <row r="25" spans="1:15" ht="16.5">
      <c r="A25" s="66"/>
      <c r="B25" s="65" t="s">
        <v>19</v>
      </c>
      <c r="C25" s="11"/>
      <c r="D25" s="253" t="s">
        <v>250</v>
      </c>
      <c r="E25" s="306"/>
      <c r="F25" s="306"/>
      <c r="G25" s="306"/>
      <c r="H25" s="306"/>
      <c r="I25" s="315"/>
      <c r="J25" s="306"/>
      <c r="K25" s="67"/>
      <c r="O25" s="25"/>
    </row>
    <row r="26" spans="1:15" ht="17.25" customHeight="1">
      <c r="A26" s="66"/>
      <c r="B26" s="68"/>
      <c r="C26" s="11" t="s">
        <v>20</v>
      </c>
      <c r="D26" s="12" t="s">
        <v>251</v>
      </c>
      <c r="E26" s="13">
        <f aca="true" t="shared" si="5" ref="E26:K26">SUM(E27:E30)</f>
        <v>0</v>
      </c>
      <c r="F26" s="13">
        <f t="shared" si="5"/>
        <v>0</v>
      </c>
      <c r="G26" s="13">
        <f t="shared" si="5"/>
        <v>24533</v>
      </c>
      <c r="H26" s="13">
        <f t="shared" si="5"/>
        <v>25412</v>
      </c>
      <c r="I26" s="13">
        <f t="shared" si="5"/>
        <v>0</v>
      </c>
      <c r="J26" s="13">
        <f t="shared" si="5"/>
        <v>0</v>
      </c>
      <c r="K26" s="13">
        <f t="shared" si="5"/>
        <v>23980</v>
      </c>
      <c r="O26" s="25"/>
    </row>
    <row r="27" spans="1:15" ht="17.25" customHeight="1">
      <c r="A27" s="66"/>
      <c r="B27" s="68"/>
      <c r="C27" s="11" t="s">
        <v>144</v>
      </c>
      <c r="D27" s="248" t="s">
        <v>658</v>
      </c>
      <c r="E27" s="13"/>
      <c r="F27" s="13"/>
      <c r="G27" s="13">
        <v>12566</v>
      </c>
      <c r="H27" s="13">
        <v>13445</v>
      </c>
      <c r="I27" s="49"/>
      <c r="J27" s="13"/>
      <c r="K27" s="13">
        <v>9981</v>
      </c>
      <c r="O27" s="25"/>
    </row>
    <row r="28" spans="1:15" ht="17.25" customHeight="1">
      <c r="A28" s="66"/>
      <c r="B28" s="68"/>
      <c r="C28" s="11" t="s">
        <v>186</v>
      </c>
      <c r="D28" s="248" t="s">
        <v>661</v>
      </c>
      <c r="E28" s="13"/>
      <c r="F28" s="13"/>
      <c r="G28" s="13">
        <v>961</v>
      </c>
      <c r="H28" s="13">
        <v>961</v>
      </c>
      <c r="I28" s="49"/>
      <c r="J28" s="13"/>
      <c r="K28" s="13">
        <v>938</v>
      </c>
      <c r="O28" s="25"/>
    </row>
    <row r="29" spans="1:15" ht="16.5">
      <c r="A29" s="66"/>
      <c r="B29" s="68"/>
      <c r="C29" s="11" t="s">
        <v>145</v>
      </c>
      <c r="D29" s="248" t="s">
        <v>662</v>
      </c>
      <c r="E29" s="13"/>
      <c r="F29" s="13"/>
      <c r="G29" s="13">
        <v>7021</v>
      </c>
      <c r="H29" s="13">
        <v>7021</v>
      </c>
      <c r="I29" s="49"/>
      <c r="J29" s="13"/>
      <c r="K29" s="13">
        <v>7281</v>
      </c>
      <c r="O29" s="25"/>
    </row>
    <row r="30" spans="1:15" ht="16.5">
      <c r="A30" s="66"/>
      <c r="B30" s="68"/>
      <c r="C30" s="11" t="s">
        <v>179</v>
      </c>
      <c r="D30" s="248" t="s">
        <v>663</v>
      </c>
      <c r="E30" s="13"/>
      <c r="F30" s="13"/>
      <c r="G30" s="13">
        <v>3985</v>
      </c>
      <c r="H30" s="13">
        <v>3985</v>
      </c>
      <c r="I30" s="49"/>
      <c r="J30" s="13"/>
      <c r="K30" s="13">
        <v>5780</v>
      </c>
      <c r="O30" s="25"/>
    </row>
    <row r="31" spans="1:15" ht="16.5">
      <c r="A31" s="66"/>
      <c r="B31" s="68"/>
      <c r="C31" s="11" t="s">
        <v>44</v>
      </c>
      <c r="D31" s="12" t="s">
        <v>35</v>
      </c>
      <c r="E31" s="13">
        <f aca="true" t="shared" si="6" ref="E31:K31">SUM(E32:E35)</f>
        <v>0</v>
      </c>
      <c r="F31" s="13">
        <f t="shared" si="6"/>
        <v>0</v>
      </c>
      <c r="G31" s="13">
        <f t="shared" si="6"/>
        <v>7551</v>
      </c>
      <c r="H31" s="13">
        <f t="shared" si="6"/>
        <v>7799</v>
      </c>
      <c r="I31" s="13">
        <f t="shared" si="6"/>
        <v>0</v>
      </c>
      <c r="J31" s="13">
        <f t="shared" si="6"/>
        <v>0</v>
      </c>
      <c r="K31" s="13">
        <f t="shared" si="6"/>
        <v>5943</v>
      </c>
      <c r="O31" s="25"/>
    </row>
    <row r="32" spans="1:15" ht="16.5">
      <c r="A32" s="66"/>
      <c r="B32" s="68"/>
      <c r="C32" s="11" t="s">
        <v>188</v>
      </c>
      <c r="D32" s="248" t="s">
        <v>658</v>
      </c>
      <c r="E32" s="13"/>
      <c r="F32" s="13"/>
      <c r="G32" s="13">
        <v>3881</v>
      </c>
      <c r="H32" s="13">
        <v>4129</v>
      </c>
      <c r="I32" s="49"/>
      <c r="J32" s="13"/>
      <c r="K32" s="13">
        <v>2468</v>
      </c>
      <c r="O32" s="25"/>
    </row>
    <row r="33" spans="1:15" ht="16.5">
      <c r="A33" s="66"/>
      <c r="B33" s="68"/>
      <c r="C33" s="11" t="s">
        <v>1461</v>
      </c>
      <c r="D33" s="248" t="s">
        <v>661</v>
      </c>
      <c r="E33" s="13"/>
      <c r="F33" s="13"/>
      <c r="G33" s="13">
        <v>274</v>
      </c>
      <c r="H33" s="13">
        <v>274</v>
      </c>
      <c r="I33" s="49"/>
      <c r="J33" s="13"/>
      <c r="K33" s="13">
        <v>225</v>
      </c>
      <c r="O33" s="25"/>
    </row>
    <row r="34" spans="1:15" ht="16.5">
      <c r="A34" s="66"/>
      <c r="B34" s="68"/>
      <c r="C34" s="11" t="s">
        <v>1434</v>
      </c>
      <c r="D34" s="248" t="s">
        <v>662</v>
      </c>
      <c r="E34" s="13"/>
      <c r="F34" s="13"/>
      <c r="G34" s="13">
        <v>2222</v>
      </c>
      <c r="H34" s="13">
        <v>2222</v>
      </c>
      <c r="I34" s="49"/>
      <c r="J34" s="13"/>
      <c r="K34" s="13">
        <v>1871</v>
      </c>
      <c r="O34" s="25"/>
    </row>
    <row r="35" spans="1:15" ht="16.5">
      <c r="A35" s="66"/>
      <c r="B35" s="68"/>
      <c r="C35" s="11" t="s">
        <v>503</v>
      </c>
      <c r="D35" s="248" t="s">
        <v>663</v>
      </c>
      <c r="E35" s="13"/>
      <c r="F35" s="13"/>
      <c r="G35" s="13">
        <v>1174</v>
      </c>
      <c r="H35" s="13">
        <v>1174</v>
      </c>
      <c r="I35" s="49"/>
      <c r="J35" s="13"/>
      <c r="K35" s="13">
        <v>1379</v>
      </c>
      <c r="O35" s="25"/>
    </row>
    <row r="36" spans="1:15" ht="16.5">
      <c r="A36" s="66"/>
      <c r="B36" s="68"/>
      <c r="C36" s="11" t="s">
        <v>45</v>
      </c>
      <c r="D36" s="12" t="s">
        <v>253</v>
      </c>
      <c r="E36" s="13">
        <f aca="true" t="shared" si="7" ref="E36:K36">SUM(E37:E38)</f>
        <v>0</v>
      </c>
      <c r="F36" s="13">
        <f t="shared" si="7"/>
        <v>0</v>
      </c>
      <c r="G36" s="13">
        <f t="shared" si="7"/>
        <v>6300</v>
      </c>
      <c r="H36" s="13">
        <f t="shared" si="7"/>
        <v>9154</v>
      </c>
      <c r="I36" s="13">
        <f t="shared" si="7"/>
        <v>0</v>
      </c>
      <c r="J36" s="13">
        <f t="shared" si="7"/>
        <v>0</v>
      </c>
      <c r="K36" s="13">
        <f t="shared" si="7"/>
        <v>4996</v>
      </c>
      <c r="O36" s="25"/>
    </row>
    <row r="37" spans="1:15" ht="16.5">
      <c r="A37" s="66"/>
      <c r="B37" s="68"/>
      <c r="C37" s="11" t="s">
        <v>254</v>
      </c>
      <c r="D37" s="248" t="s">
        <v>658</v>
      </c>
      <c r="E37" s="13"/>
      <c r="F37" s="13"/>
      <c r="G37" s="13">
        <v>4631</v>
      </c>
      <c r="H37" s="13">
        <v>7485</v>
      </c>
      <c r="I37" s="49"/>
      <c r="J37" s="13"/>
      <c r="K37" s="13">
        <v>4408</v>
      </c>
      <c r="O37" s="25"/>
    </row>
    <row r="38" spans="1:15" ht="16.5">
      <c r="A38" s="66"/>
      <c r="B38" s="68"/>
      <c r="C38" s="11" t="s">
        <v>690</v>
      </c>
      <c r="D38" s="248" t="s">
        <v>661</v>
      </c>
      <c r="E38" s="13"/>
      <c r="F38" s="13"/>
      <c r="G38" s="13">
        <v>1669</v>
      </c>
      <c r="H38" s="13">
        <v>1669</v>
      </c>
      <c r="I38" s="49"/>
      <c r="J38" s="13"/>
      <c r="K38" s="13">
        <v>588</v>
      </c>
      <c r="O38" s="25"/>
    </row>
    <row r="39" spans="1:11" ht="16.5">
      <c r="A39" s="66"/>
      <c r="B39" s="68"/>
      <c r="C39" s="11" t="s">
        <v>49</v>
      </c>
      <c r="D39" s="12" t="s">
        <v>232</v>
      </c>
      <c r="E39" s="13"/>
      <c r="F39" s="13"/>
      <c r="G39" s="13">
        <f>SUM(G40:G41)</f>
        <v>3398</v>
      </c>
      <c r="H39" s="13">
        <f>SUM(H40:H41)</f>
        <v>3398</v>
      </c>
      <c r="I39" s="13">
        <f>SUM(I40:I41)</f>
        <v>0</v>
      </c>
      <c r="J39" s="13">
        <f>SUM(J40:J42)</f>
        <v>0</v>
      </c>
      <c r="K39" s="13">
        <f>SUM(K40:K42)</f>
        <v>3203</v>
      </c>
    </row>
    <row r="40" spans="1:11" ht="16.5">
      <c r="A40" s="66"/>
      <c r="B40" s="68"/>
      <c r="C40" s="11" t="s">
        <v>255</v>
      </c>
      <c r="D40" s="248" t="s">
        <v>662</v>
      </c>
      <c r="E40" s="13"/>
      <c r="F40" s="13"/>
      <c r="G40" s="13">
        <v>1147</v>
      </c>
      <c r="H40" s="13">
        <v>1147</v>
      </c>
      <c r="I40" s="49"/>
      <c r="J40" s="13"/>
      <c r="K40" s="13">
        <v>1771</v>
      </c>
    </row>
    <row r="41" spans="1:11" ht="16.5">
      <c r="A41" s="66"/>
      <c r="B41" s="68"/>
      <c r="C41" s="11" t="s">
        <v>719</v>
      </c>
      <c r="D41" s="248" t="s">
        <v>663</v>
      </c>
      <c r="E41" s="13"/>
      <c r="F41" s="13"/>
      <c r="G41" s="13">
        <v>2251</v>
      </c>
      <c r="H41" s="13">
        <v>2251</v>
      </c>
      <c r="I41" s="49"/>
      <c r="J41" s="13"/>
      <c r="K41" s="13">
        <v>676</v>
      </c>
    </row>
    <row r="42" spans="1:11" ht="16.5">
      <c r="A42" s="66"/>
      <c r="B42" s="68"/>
      <c r="C42" s="11" t="s">
        <v>1021</v>
      </c>
      <c r="D42" s="248" t="s">
        <v>661</v>
      </c>
      <c r="E42" s="13"/>
      <c r="F42" s="13"/>
      <c r="G42" s="13"/>
      <c r="H42" s="13"/>
      <c r="I42" s="49"/>
      <c r="J42" s="13"/>
      <c r="K42" s="13">
        <v>756</v>
      </c>
    </row>
    <row r="43" spans="1:11" ht="16.5">
      <c r="A43" s="66"/>
      <c r="B43" s="68"/>
      <c r="C43" s="11" t="s">
        <v>50</v>
      </c>
      <c r="D43" s="12" t="s">
        <v>256</v>
      </c>
      <c r="E43" s="13"/>
      <c r="F43" s="13"/>
      <c r="G43" s="13"/>
      <c r="H43" s="13"/>
      <c r="I43" s="49"/>
      <c r="J43" s="13"/>
      <c r="K43" s="13"/>
    </row>
    <row r="44" spans="1:11" ht="16.5">
      <c r="A44" s="66"/>
      <c r="B44" s="68"/>
      <c r="C44" s="11" t="s">
        <v>305</v>
      </c>
      <c r="D44" s="12" t="s">
        <v>257</v>
      </c>
      <c r="E44" s="13"/>
      <c r="F44" s="13"/>
      <c r="G44" s="13"/>
      <c r="H44" s="13"/>
      <c r="I44" s="49"/>
      <c r="J44" s="13"/>
      <c r="K44" s="13"/>
    </row>
    <row r="45" spans="1:11" ht="16.5">
      <c r="A45" s="66"/>
      <c r="B45" s="68"/>
      <c r="C45" s="11" t="s">
        <v>259</v>
      </c>
      <c r="D45" s="12" t="s">
        <v>260</v>
      </c>
      <c r="E45" s="13"/>
      <c r="F45" s="13"/>
      <c r="G45" s="13"/>
      <c r="H45" s="13"/>
      <c r="I45" s="49"/>
      <c r="J45" s="13"/>
      <c r="K45" s="13"/>
    </row>
    <row r="46" spans="1:11" ht="16.5">
      <c r="A46" s="66"/>
      <c r="B46" s="68"/>
      <c r="C46" s="11"/>
      <c r="D46" s="72" t="s">
        <v>261</v>
      </c>
      <c r="E46" s="41">
        <f>SUM(E26:E45)</f>
        <v>0</v>
      </c>
      <c r="F46" s="41">
        <f>SUM(F26:F45)</f>
        <v>0</v>
      </c>
      <c r="G46" s="41">
        <f>SUM(G26+G31+G36+G39+G43+G44+G45)</f>
        <v>41782</v>
      </c>
      <c r="H46" s="41">
        <f>SUM(H26+H31+H36+H39+H43+H44+H45)</f>
        <v>45763</v>
      </c>
      <c r="I46" s="41">
        <f>SUM(I26+I31+I36+I39+I43+I44+I45)</f>
        <v>0</v>
      </c>
      <c r="J46" s="41">
        <f>SUM(J26+J31+J36+J39+J43+J44+J45)</f>
        <v>0</v>
      </c>
      <c r="K46" s="41">
        <f>SUM(K26+K31+K36+K39+K43+K44+K45)</f>
        <v>38122</v>
      </c>
    </row>
    <row r="47" spans="1:11" ht="17.25" thickBot="1">
      <c r="A47" s="66"/>
      <c r="B47" s="65" t="s">
        <v>22</v>
      </c>
      <c r="C47" s="16"/>
      <c r="D47" s="75" t="s">
        <v>266</v>
      </c>
      <c r="E47" s="76"/>
      <c r="F47" s="76"/>
      <c r="G47" s="76"/>
      <c r="H47" s="76"/>
      <c r="I47" s="76"/>
      <c r="J47" s="76"/>
      <c r="K47" s="76"/>
    </row>
    <row r="48" spans="1:11" ht="18" thickBot="1" thickTop="1">
      <c r="A48" s="63"/>
      <c r="B48" s="64"/>
      <c r="C48" s="201"/>
      <c r="D48" s="1131" t="s">
        <v>330</v>
      </c>
      <c r="E48" s="1131"/>
      <c r="F48" s="1131"/>
      <c r="G48" s="1131"/>
      <c r="H48" s="1131"/>
      <c r="I48" s="1131"/>
      <c r="J48" s="1131"/>
      <c r="K48" s="1140"/>
    </row>
    <row r="49" spans="1:11" ht="17.25" thickTop="1">
      <c r="A49" s="66"/>
      <c r="B49" s="65" t="s">
        <v>14</v>
      </c>
      <c r="C49" s="10"/>
      <c r="D49" s="1200" t="s">
        <v>240</v>
      </c>
      <c r="E49" s="1206"/>
      <c r="F49" s="1206"/>
      <c r="G49" s="1206"/>
      <c r="H49" s="1206"/>
      <c r="I49" s="1206"/>
      <c r="J49" s="1206"/>
      <c r="K49" s="1201"/>
    </row>
    <row r="50" spans="1:11" ht="16.5">
      <c r="A50" s="66"/>
      <c r="B50" s="68"/>
      <c r="C50" s="15" t="s">
        <v>16</v>
      </c>
      <c r="D50" s="12" t="s">
        <v>623</v>
      </c>
      <c r="E50" s="13"/>
      <c r="F50" s="13"/>
      <c r="G50" s="13">
        <v>0</v>
      </c>
      <c r="H50" s="13">
        <v>1</v>
      </c>
      <c r="I50" s="49"/>
      <c r="J50" s="13"/>
      <c r="K50" s="13">
        <v>0</v>
      </c>
    </row>
    <row r="51" spans="1:11" ht="15" customHeight="1">
      <c r="A51" s="66"/>
      <c r="B51" s="68"/>
      <c r="C51" s="15" t="s">
        <v>17</v>
      </c>
      <c r="D51" s="12" t="s">
        <v>1209</v>
      </c>
      <c r="E51" s="13">
        <v>0</v>
      </c>
      <c r="F51" s="13">
        <v>0</v>
      </c>
      <c r="G51" s="13">
        <v>0</v>
      </c>
      <c r="H51" s="13">
        <v>0</v>
      </c>
      <c r="I51" s="49"/>
      <c r="J51" s="13"/>
      <c r="K51" s="13"/>
    </row>
    <row r="52" spans="1:11" ht="16.5">
      <c r="A52" s="66"/>
      <c r="B52" s="68"/>
      <c r="C52" s="15" t="s">
        <v>36</v>
      </c>
      <c r="D52" s="12" t="s">
        <v>243</v>
      </c>
      <c r="E52" s="13"/>
      <c r="F52" s="13" t="e">
        <f>SUM(F53+#REF!)</f>
        <v>#REF!</v>
      </c>
      <c r="G52" s="13">
        <f>SUM(G54+G59+G64+G66)</f>
        <v>38687</v>
      </c>
      <c r="H52" s="13">
        <f>SUM(H54+H59+H64+H66)</f>
        <v>41861</v>
      </c>
      <c r="I52" s="13">
        <f>SUM(I54+I59+I64+I66)</f>
        <v>0</v>
      </c>
      <c r="J52" s="13">
        <f>SUM(J54+J59+J64)</f>
        <v>0</v>
      </c>
      <c r="K52" s="13">
        <f>SUM(K54+K59+K64)</f>
        <v>40655</v>
      </c>
    </row>
    <row r="53" spans="1:11" s="52" customFormat="1" ht="16.5">
      <c r="A53" s="174"/>
      <c r="B53" s="175"/>
      <c r="C53" s="51" t="s">
        <v>124</v>
      </c>
      <c r="D53" s="47" t="s">
        <v>244</v>
      </c>
      <c r="E53" s="48">
        <f aca="true" t="shared" si="8" ref="E53:J53">SUM(E54+E59+E64)</f>
        <v>0</v>
      </c>
      <c r="F53" s="48">
        <f t="shared" si="8"/>
        <v>0</v>
      </c>
      <c r="G53" s="48">
        <f t="shared" si="8"/>
        <v>38687</v>
      </c>
      <c r="H53" s="48">
        <f t="shared" si="8"/>
        <v>41861</v>
      </c>
      <c r="I53" s="48">
        <f t="shared" si="8"/>
        <v>0</v>
      </c>
      <c r="J53" s="48">
        <f t="shared" si="8"/>
        <v>0</v>
      </c>
      <c r="K53" s="48">
        <f>SUM(K54+K59+K64)</f>
        <v>40655</v>
      </c>
    </row>
    <row r="54" spans="1:11" ht="16.5">
      <c r="A54" s="66"/>
      <c r="B54" s="68"/>
      <c r="C54" s="10" t="s">
        <v>72</v>
      </c>
      <c r="D54" s="247" t="s">
        <v>664</v>
      </c>
      <c r="E54" s="13">
        <f aca="true" t="shared" si="9" ref="E54:J54">SUM(E55:E58)</f>
        <v>0</v>
      </c>
      <c r="F54" s="13">
        <f t="shared" si="9"/>
        <v>0</v>
      </c>
      <c r="G54" s="13">
        <f t="shared" si="9"/>
        <v>19153</v>
      </c>
      <c r="H54" s="13">
        <f t="shared" si="9"/>
        <v>19153</v>
      </c>
      <c r="I54" s="13">
        <f t="shared" si="9"/>
        <v>0</v>
      </c>
      <c r="J54" s="13">
        <f t="shared" si="9"/>
        <v>0</v>
      </c>
      <c r="K54" s="13">
        <f>SUM(K55:K58)</f>
        <v>20315</v>
      </c>
    </row>
    <row r="55" spans="1:11" ht="16.5">
      <c r="A55" s="66"/>
      <c r="B55" s="68"/>
      <c r="C55" s="10" t="s">
        <v>73</v>
      </c>
      <c r="D55" s="248" t="s">
        <v>658</v>
      </c>
      <c r="E55" s="13"/>
      <c r="F55" s="13"/>
      <c r="G55" s="13">
        <v>7656</v>
      </c>
      <c r="H55" s="13">
        <v>7656</v>
      </c>
      <c r="I55" s="49"/>
      <c r="J55" s="13"/>
      <c r="K55" s="13">
        <v>8016</v>
      </c>
    </row>
    <row r="56" spans="1:14" ht="16.5">
      <c r="A56" s="66"/>
      <c r="B56" s="68"/>
      <c r="C56" s="10" t="s">
        <v>657</v>
      </c>
      <c r="D56" s="248" t="s">
        <v>661</v>
      </c>
      <c r="E56" s="13"/>
      <c r="F56" s="13"/>
      <c r="G56" s="13">
        <v>1381</v>
      </c>
      <c r="H56" s="13">
        <v>1381</v>
      </c>
      <c r="I56" s="49"/>
      <c r="J56" s="13"/>
      <c r="K56" s="13">
        <v>1450</v>
      </c>
      <c r="N56" s="25"/>
    </row>
    <row r="57" spans="1:11" ht="16.5">
      <c r="A57" s="66"/>
      <c r="B57" s="68"/>
      <c r="C57" s="10" t="s">
        <v>659</v>
      </c>
      <c r="D57" s="248" t="s">
        <v>662</v>
      </c>
      <c r="E57" s="13"/>
      <c r="F57" s="13"/>
      <c r="G57" s="13">
        <v>5905</v>
      </c>
      <c r="H57" s="13">
        <v>5905</v>
      </c>
      <c r="I57" s="49"/>
      <c r="J57" s="13"/>
      <c r="K57" s="13">
        <v>6318</v>
      </c>
    </row>
    <row r="58" spans="1:11" ht="16.5">
      <c r="A58" s="66"/>
      <c r="B58" s="68"/>
      <c r="C58" s="10" t="s">
        <v>660</v>
      </c>
      <c r="D58" s="248" t="s">
        <v>663</v>
      </c>
      <c r="E58" s="13"/>
      <c r="F58" s="13"/>
      <c r="G58" s="13">
        <v>4211</v>
      </c>
      <c r="H58" s="13">
        <v>4211</v>
      </c>
      <c r="I58" s="49"/>
      <c r="J58" s="13"/>
      <c r="K58" s="13">
        <v>4531</v>
      </c>
    </row>
    <row r="59" spans="1:11" ht="16.5">
      <c r="A59" s="66"/>
      <c r="B59" s="68"/>
      <c r="C59" s="10" t="s">
        <v>1464</v>
      </c>
      <c r="D59" s="247" t="s">
        <v>665</v>
      </c>
      <c r="E59" s="13">
        <f aca="true" t="shared" si="10" ref="E59:J59">SUM(E60:E63)</f>
        <v>0</v>
      </c>
      <c r="F59" s="13">
        <f t="shared" si="10"/>
        <v>0</v>
      </c>
      <c r="G59" s="13">
        <f t="shared" si="10"/>
        <v>9950</v>
      </c>
      <c r="H59" s="13">
        <f t="shared" si="10"/>
        <v>9950</v>
      </c>
      <c r="I59" s="13">
        <f t="shared" si="10"/>
        <v>0</v>
      </c>
      <c r="J59" s="13">
        <f t="shared" si="10"/>
        <v>0</v>
      </c>
      <c r="K59" s="13">
        <f>SUM(K60:K63)</f>
        <v>5986</v>
      </c>
    </row>
    <row r="60" spans="1:11" ht="16.5">
      <c r="A60" s="66"/>
      <c r="B60" s="68"/>
      <c r="C60" s="10" t="s">
        <v>666</v>
      </c>
      <c r="D60" s="248" t="s">
        <v>658</v>
      </c>
      <c r="E60" s="13"/>
      <c r="F60" s="13"/>
      <c r="G60" s="13">
        <v>3706</v>
      </c>
      <c r="H60" s="13">
        <v>3706</v>
      </c>
      <c r="I60" s="49"/>
      <c r="J60" s="13"/>
      <c r="K60" s="13">
        <v>2209</v>
      </c>
    </row>
    <row r="61" spans="1:11" ht="16.5">
      <c r="A61" s="66"/>
      <c r="B61" s="68"/>
      <c r="C61" s="10" t="s">
        <v>667</v>
      </c>
      <c r="D61" s="248" t="s">
        <v>661</v>
      </c>
      <c r="E61" s="13"/>
      <c r="F61" s="13"/>
      <c r="G61" s="13">
        <v>624</v>
      </c>
      <c r="H61" s="13">
        <v>624</v>
      </c>
      <c r="I61" s="49"/>
      <c r="J61" s="13"/>
      <c r="K61" s="13">
        <v>386</v>
      </c>
    </row>
    <row r="62" spans="1:11" ht="16.5">
      <c r="A62" s="66"/>
      <c r="B62" s="68"/>
      <c r="C62" s="10" t="s">
        <v>668</v>
      </c>
      <c r="D62" s="248" t="s">
        <v>662</v>
      </c>
      <c r="E62" s="13"/>
      <c r="F62" s="13"/>
      <c r="G62" s="13">
        <v>3197</v>
      </c>
      <c r="H62" s="13">
        <v>3197</v>
      </c>
      <c r="I62" s="49"/>
      <c r="J62" s="13"/>
      <c r="K62" s="13">
        <v>1970</v>
      </c>
    </row>
    <row r="63" spans="1:15" ht="16.5">
      <c r="A63" s="66"/>
      <c r="B63" s="68"/>
      <c r="C63" s="10" t="s">
        <v>669</v>
      </c>
      <c r="D63" s="248" t="s">
        <v>663</v>
      </c>
      <c r="E63" s="13"/>
      <c r="F63" s="13"/>
      <c r="G63" s="13">
        <v>2423</v>
      </c>
      <c r="H63" s="13">
        <v>2423</v>
      </c>
      <c r="I63" s="49"/>
      <c r="J63" s="13"/>
      <c r="K63" s="13">
        <v>1421</v>
      </c>
      <c r="O63" s="25"/>
    </row>
    <row r="64" spans="1:11" ht="16.5">
      <c r="A64" s="66"/>
      <c r="B64" s="68"/>
      <c r="C64" s="10" t="s">
        <v>496</v>
      </c>
      <c r="D64" s="247" t="s">
        <v>670</v>
      </c>
      <c r="E64" s="13">
        <f aca="true" t="shared" si="11" ref="E64:K64">SUM(E65:E65)</f>
        <v>0</v>
      </c>
      <c r="F64" s="13">
        <f t="shared" si="11"/>
        <v>0</v>
      </c>
      <c r="G64" s="13">
        <f t="shared" si="11"/>
        <v>9584</v>
      </c>
      <c r="H64" s="13">
        <f t="shared" si="11"/>
        <v>12758</v>
      </c>
      <c r="I64" s="13">
        <f t="shared" si="11"/>
        <v>0</v>
      </c>
      <c r="J64" s="13">
        <f t="shared" si="11"/>
        <v>0</v>
      </c>
      <c r="K64" s="13">
        <f t="shared" si="11"/>
        <v>14354</v>
      </c>
    </row>
    <row r="65" spans="1:11" ht="16.5">
      <c r="A65" s="66"/>
      <c r="B65" s="68"/>
      <c r="C65" s="10" t="s">
        <v>671</v>
      </c>
      <c r="D65" s="248" t="s">
        <v>658</v>
      </c>
      <c r="E65" s="13"/>
      <c r="F65" s="13"/>
      <c r="G65" s="13">
        <v>9584</v>
      </c>
      <c r="H65" s="13">
        <v>12758</v>
      </c>
      <c r="I65" s="49"/>
      <c r="J65" s="13"/>
      <c r="K65" s="13">
        <v>14354</v>
      </c>
    </row>
    <row r="66" spans="1:11" ht="16.5">
      <c r="A66" s="66"/>
      <c r="B66" s="68"/>
      <c r="C66" s="15" t="s">
        <v>37</v>
      </c>
      <c r="D66" s="12" t="s">
        <v>231</v>
      </c>
      <c r="E66" s="13">
        <f>SUM(E67:E67)</f>
        <v>0</v>
      </c>
      <c r="F66" s="13">
        <f>SUM(F67:F67)</f>
        <v>0</v>
      </c>
      <c r="G66" s="13">
        <f>SUM(G67:G67)</f>
        <v>0</v>
      </c>
      <c r="H66" s="13">
        <f>SUM(H67:H67)</f>
        <v>0</v>
      </c>
      <c r="I66" s="49"/>
      <c r="J66" s="13">
        <f>SUM(J67:J69)</f>
        <v>0</v>
      </c>
      <c r="K66" s="13">
        <f>SUM(K67:K69)</f>
        <v>7844</v>
      </c>
    </row>
    <row r="67" spans="1:11" ht="16.5">
      <c r="A67" s="66"/>
      <c r="B67" s="68"/>
      <c r="C67" s="10" t="s">
        <v>353</v>
      </c>
      <c r="D67" s="248" t="s">
        <v>661</v>
      </c>
      <c r="E67" s="13"/>
      <c r="F67" s="13"/>
      <c r="G67" s="13"/>
      <c r="H67" s="13"/>
      <c r="I67" s="49"/>
      <c r="J67" s="13"/>
      <c r="K67" s="13">
        <v>1402</v>
      </c>
    </row>
    <row r="68" spans="1:11" ht="16.5">
      <c r="A68" s="66"/>
      <c r="B68" s="68"/>
      <c r="C68" s="10" t="s">
        <v>1219</v>
      </c>
      <c r="D68" s="248" t="s">
        <v>662</v>
      </c>
      <c r="E68" s="13"/>
      <c r="F68" s="13"/>
      <c r="G68" s="13"/>
      <c r="H68" s="13"/>
      <c r="I68" s="49"/>
      <c r="J68" s="13"/>
      <c r="K68" s="13">
        <v>3791</v>
      </c>
    </row>
    <row r="69" spans="1:11" ht="16.5">
      <c r="A69" s="66"/>
      <c r="B69" s="68"/>
      <c r="C69" s="10" t="s">
        <v>1220</v>
      </c>
      <c r="D69" s="248" t="s">
        <v>663</v>
      </c>
      <c r="E69" s="13"/>
      <c r="F69" s="13"/>
      <c r="G69" s="13"/>
      <c r="H69" s="13"/>
      <c r="I69" s="49"/>
      <c r="J69" s="13"/>
      <c r="K69" s="13">
        <v>2651</v>
      </c>
    </row>
    <row r="70" spans="1:15" ht="16.5">
      <c r="A70" s="66"/>
      <c r="B70" s="68"/>
      <c r="C70" s="10"/>
      <c r="D70" s="69" t="s">
        <v>248</v>
      </c>
      <c r="E70" s="41">
        <f aca="true" t="shared" si="12" ref="E70:J70">SUM(E50+E52+E51+E66)</f>
        <v>0</v>
      </c>
      <c r="F70" s="41" t="e">
        <f t="shared" si="12"/>
        <v>#REF!</v>
      </c>
      <c r="G70" s="41">
        <f t="shared" si="12"/>
        <v>38687</v>
      </c>
      <c r="H70" s="41">
        <f t="shared" si="12"/>
        <v>41862</v>
      </c>
      <c r="I70" s="41">
        <f t="shared" si="12"/>
        <v>0</v>
      </c>
      <c r="J70" s="41">
        <f t="shared" si="12"/>
        <v>0</v>
      </c>
      <c r="K70" s="41">
        <f>SUM(K50+K52+K51+K66)</f>
        <v>48499</v>
      </c>
      <c r="N70" s="25"/>
      <c r="O70" s="25"/>
    </row>
    <row r="71" spans="1:11" ht="16.5">
      <c r="A71" s="66"/>
      <c r="B71" s="65" t="s">
        <v>19</v>
      </c>
      <c r="C71" s="11"/>
      <c r="D71" s="1128" t="s">
        <v>250</v>
      </c>
      <c r="E71" s="1129"/>
      <c r="F71" s="1129"/>
      <c r="G71" s="1129"/>
      <c r="H71" s="1129"/>
      <c r="I71" s="1129"/>
      <c r="J71" s="1129"/>
      <c r="K71" s="1136"/>
    </row>
    <row r="72" spans="1:11" ht="17.25" customHeight="1">
      <c r="A72" s="66"/>
      <c r="B72" s="68"/>
      <c r="C72" s="11" t="s">
        <v>20</v>
      </c>
      <c r="D72" s="12" t="s">
        <v>251</v>
      </c>
      <c r="E72" s="13">
        <f aca="true" t="shared" si="13" ref="E72:K72">SUM(E73:E76)</f>
        <v>0</v>
      </c>
      <c r="F72" s="13">
        <f t="shared" si="13"/>
        <v>0</v>
      </c>
      <c r="G72" s="13">
        <f t="shared" si="13"/>
        <v>24639</v>
      </c>
      <c r="H72" s="13">
        <f t="shared" si="13"/>
        <v>25840</v>
      </c>
      <c r="I72" s="13">
        <f t="shared" si="13"/>
        <v>0</v>
      </c>
      <c r="J72" s="13">
        <f t="shared" si="13"/>
        <v>0</v>
      </c>
      <c r="K72" s="13">
        <f t="shared" si="13"/>
        <v>34023</v>
      </c>
    </row>
    <row r="73" spans="1:11" ht="17.25" customHeight="1">
      <c r="A73" s="66"/>
      <c r="B73" s="68"/>
      <c r="C73" s="11" t="s">
        <v>144</v>
      </c>
      <c r="D73" s="248" t="s">
        <v>658</v>
      </c>
      <c r="E73" s="13"/>
      <c r="F73" s="13"/>
      <c r="G73" s="13">
        <v>13002</v>
      </c>
      <c r="H73" s="13">
        <v>14203</v>
      </c>
      <c r="I73" s="49"/>
      <c r="J73" s="13"/>
      <c r="K73" s="13">
        <v>16466</v>
      </c>
    </row>
    <row r="74" spans="1:14" ht="17.25" customHeight="1">
      <c r="A74" s="66"/>
      <c r="B74" s="68"/>
      <c r="C74" s="11" t="s">
        <v>186</v>
      </c>
      <c r="D74" s="248" t="s">
        <v>661</v>
      </c>
      <c r="E74" s="13"/>
      <c r="F74" s="13"/>
      <c r="G74" s="13">
        <v>819</v>
      </c>
      <c r="H74" s="13">
        <v>819</v>
      </c>
      <c r="I74" s="49"/>
      <c r="J74" s="13"/>
      <c r="K74" s="13">
        <v>978</v>
      </c>
      <c r="N74" s="25"/>
    </row>
    <row r="75" spans="1:11" ht="16.5">
      <c r="A75" s="66"/>
      <c r="B75" s="68"/>
      <c r="C75" s="11" t="s">
        <v>145</v>
      </c>
      <c r="D75" s="248" t="s">
        <v>662</v>
      </c>
      <c r="E75" s="13"/>
      <c r="F75" s="13"/>
      <c r="G75" s="13">
        <v>6252</v>
      </c>
      <c r="H75" s="13">
        <v>6252</v>
      </c>
      <c r="I75" s="49"/>
      <c r="J75" s="13"/>
      <c r="K75" s="13">
        <v>9662</v>
      </c>
    </row>
    <row r="76" spans="1:11" ht="16.5">
      <c r="A76" s="66"/>
      <c r="B76" s="68"/>
      <c r="C76" s="11" t="s">
        <v>179</v>
      </c>
      <c r="D76" s="248" t="s">
        <v>663</v>
      </c>
      <c r="E76" s="13"/>
      <c r="F76" s="13"/>
      <c r="G76" s="13">
        <v>4566</v>
      </c>
      <c r="H76" s="13">
        <v>4566</v>
      </c>
      <c r="I76" s="49"/>
      <c r="J76" s="13"/>
      <c r="K76" s="13">
        <v>6917</v>
      </c>
    </row>
    <row r="77" spans="1:13" ht="16.5">
      <c r="A77" s="66"/>
      <c r="B77" s="68"/>
      <c r="C77" s="11" t="s">
        <v>44</v>
      </c>
      <c r="D77" s="12" t="s">
        <v>35</v>
      </c>
      <c r="E77" s="13">
        <f aca="true" t="shared" si="14" ref="E77:K77">SUM(E78:E81)</f>
        <v>0</v>
      </c>
      <c r="F77" s="13">
        <f t="shared" si="14"/>
        <v>0</v>
      </c>
      <c r="G77" s="13">
        <f t="shared" si="14"/>
        <v>7726</v>
      </c>
      <c r="H77" s="13">
        <f t="shared" si="14"/>
        <v>8084</v>
      </c>
      <c r="I77" s="13">
        <f t="shared" si="14"/>
        <v>0</v>
      </c>
      <c r="J77" s="13">
        <f t="shared" si="14"/>
        <v>0</v>
      </c>
      <c r="K77" s="13">
        <f t="shared" si="14"/>
        <v>8543</v>
      </c>
      <c r="M77" s="25"/>
    </row>
    <row r="78" spans="1:11" ht="16.5">
      <c r="A78" s="66"/>
      <c r="B78" s="68"/>
      <c r="C78" s="11" t="s">
        <v>188</v>
      </c>
      <c r="D78" s="248" t="s">
        <v>658</v>
      </c>
      <c r="E78" s="13"/>
      <c r="F78" s="13"/>
      <c r="G78" s="13">
        <v>3960</v>
      </c>
      <c r="H78" s="13">
        <v>4318</v>
      </c>
      <c r="I78" s="49"/>
      <c r="J78" s="13"/>
      <c r="K78" s="13">
        <v>4177</v>
      </c>
    </row>
    <row r="79" spans="1:11" ht="16.5">
      <c r="A79" s="66"/>
      <c r="B79" s="68"/>
      <c r="C79" s="11" t="s">
        <v>1461</v>
      </c>
      <c r="D79" s="248" t="s">
        <v>661</v>
      </c>
      <c r="E79" s="13"/>
      <c r="F79" s="13"/>
      <c r="G79" s="13">
        <v>293</v>
      </c>
      <c r="H79" s="13">
        <v>293</v>
      </c>
      <c r="I79" s="49"/>
      <c r="J79" s="13"/>
      <c r="K79" s="13">
        <v>263</v>
      </c>
    </row>
    <row r="80" spans="1:11" ht="16.5">
      <c r="A80" s="66"/>
      <c r="B80" s="68"/>
      <c r="C80" s="11" t="s">
        <v>1434</v>
      </c>
      <c r="D80" s="248" t="s">
        <v>662</v>
      </c>
      <c r="E80" s="13"/>
      <c r="F80" s="13"/>
      <c r="G80" s="13">
        <v>2034</v>
      </c>
      <c r="H80" s="13">
        <v>2034</v>
      </c>
      <c r="I80" s="49"/>
      <c r="J80" s="13"/>
      <c r="K80" s="13">
        <v>2417</v>
      </c>
    </row>
    <row r="81" spans="1:11" ht="16.5">
      <c r="A81" s="66"/>
      <c r="B81" s="68"/>
      <c r="C81" s="11" t="s">
        <v>503</v>
      </c>
      <c r="D81" s="248" t="s">
        <v>663</v>
      </c>
      <c r="E81" s="13"/>
      <c r="F81" s="13"/>
      <c r="G81" s="13">
        <v>1439</v>
      </c>
      <c r="H81" s="13">
        <v>1439</v>
      </c>
      <c r="I81" s="49"/>
      <c r="J81" s="13"/>
      <c r="K81" s="13">
        <v>1686</v>
      </c>
    </row>
    <row r="82" spans="1:11" ht="16.5">
      <c r="A82" s="66"/>
      <c r="B82" s="68"/>
      <c r="C82" s="11" t="s">
        <v>45</v>
      </c>
      <c r="D82" s="12" t="s">
        <v>253</v>
      </c>
      <c r="E82" s="13">
        <f aca="true" t="shared" si="15" ref="E82:K82">SUM(E83:E84)</f>
        <v>0</v>
      </c>
      <c r="F82" s="13">
        <f t="shared" si="15"/>
        <v>0</v>
      </c>
      <c r="G82" s="13">
        <f t="shared" si="15"/>
        <v>4401</v>
      </c>
      <c r="H82" s="13">
        <f t="shared" si="15"/>
        <v>6017</v>
      </c>
      <c r="I82" s="13">
        <f t="shared" si="15"/>
        <v>0</v>
      </c>
      <c r="J82" s="13">
        <f t="shared" si="15"/>
        <v>0</v>
      </c>
      <c r="K82" s="13">
        <f t="shared" si="15"/>
        <v>5933</v>
      </c>
    </row>
    <row r="83" spans="1:11" ht="16.5">
      <c r="A83" s="66"/>
      <c r="B83" s="68"/>
      <c r="C83" s="11" t="s">
        <v>254</v>
      </c>
      <c r="D83" s="248" t="s">
        <v>658</v>
      </c>
      <c r="E83" s="13"/>
      <c r="F83" s="13"/>
      <c r="G83" s="13">
        <v>3983</v>
      </c>
      <c r="H83" s="13">
        <v>5599</v>
      </c>
      <c r="I83" s="49"/>
      <c r="J83" s="13"/>
      <c r="K83" s="13">
        <v>3936</v>
      </c>
    </row>
    <row r="84" spans="1:11" ht="16.5">
      <c r="A84" s="66"/>
      <c r="B84" s="68"/>
      <c r="C84" s="11" t="s">
        <v>690</v>
      </c>
      <c r="D84" s="248" t="s">
        <v>661</v>
      </c>
      <c r="E84" s="13"/>
      <c r="F84" s="13"/>
      <c r="G84" s="13">
        <v>418</v>
      </c>
      <c r="H84" s="13">
        <v>418</v>
      </c>
      <c r="I84" s="49"/>
      <c r="J84" s="13"/>
      <c r="K84" s="13">
        <v>1997</v>
      </c>
    </row>
    <row r="85" spans="1:11" ht="16.5">
      <c r="A85" s="66"/>
      <c r="B85" s="68"/>
      <c r="C85" s="11" t="s">
        <v>49</v>
      </c>
      <c r="D85" s="12" t="s">
        <v>232</v>
      </c>
      <c r="E85" s="13"/>
      <c r="F85" s="13"/>
      <c r="G85" s="13">
        <f>SUM(G86:G88)</f>
        <v>1921</v>
      </c>
      <c r="H85" s="13">
        <v>1921</v>
      </c>
      <c r="I85" s="49"/>
      <c r="J85" s="13"/>
      <c r="K85" s="13"/>
    </row>
    <row r="86" spans="1:11" ht="16.5">
      <c r="A86" s="66"/>
      <c r="B86" s="68"/>
      <c r="C86" s="11" t="s">
        <v>255</v>
      </c>
      <c r="D86" s="248" t="s">
        <v>662</v>
      </c>
      <c r="E86" s="13"/>
      <c r="F86" s="13"/>
      <c r="G86" s="13">
        <v>816</v>
      </c>
      <c r="H86" s="13">
        <v>816</v>
      </c>
      <c r="I86" s="49"/>
      <c r="J86" s="13"/>
      <c r="K86" s="13"/>
    </row>
    <row r="87" spans="1:11" ht="16.5">
      <c r="A87" s="66"/>
      <c r="B87" s="68"/>
      <c r="C87" s="11" t="s">
        <v>719</v>
      </c>
      <c r="D87" s="248" t="s">
        <v>663</v>
      </c>
      <c r="E87" s="13"/>
      <c r="F87" s="13"/>
      <c r="G87" s="13">
        <v>630</v>
      </c>
      <c r="H87" s="13">
        <v>630</v>
      </c>
      <c r="I87" s="49"/>
      <c r="J87" s="13"/>
      <c r="K87" s="13"/>
    </row>
    <row r="88" spans="1:11" ht="16.5">
      <c r="A88" s="66"/>
      <c r="B88" s="68"/>
      <c r="C88" s="11" t="s">
        <v>1021</v>
      </c>
      <c r="D88" s="248" t="s">
        <v>661</v>
      </c>
      <c r="E88" s="13"/>
      <c r="F88" s="13"/>
      <c r="G88" s="13">
        <v>475</v>
      </c>
      <c r="H88" s="13">
        <v>475</v>
      </c>
      <c r="I88" s="49"/>
      <c r="J88" s="13"/>
      <c r="K88" s="13"/>
    </row>
    <row r="89" spans="1:11" ht="16.5">
      <c r="A89" s="66"/>
      <c r="B89" s="68"/>
      <c r="C89" s="11" t="s">
        <v>50</v>
      </c>
      <c r="D89" s="12" t="s">
        <v>256</v>
      </c>
      <c r="E89" s="13"/>
      <c r="F89" s="13"/>
      <c r="G89" s="13"/>
      <c r="H89" s="13"/>
      <c r="I89" s="49"/>
      <c r="J89" s="13"/>
      <c r="K89" s="13"/>
    </row>
    <row r="90" spans="1:11" ht="16.5">
      <c r="A90" s="66"/>
      <c r="B90" s="68"/>
      <c r="C90" s="11" t="s">
        <v>51</v>
      </c>
      <c r="D90" s="12" t="s">
        <v>257</v>
      </c>
      <c r="E90" s="13"/>
      <c r="F90" s="13"/>
      <c r="G90" s="13"/>
      <c r="H90" s="13"/>
      <c r="I90" s="49"/>
      <c r="J90" s="13"/>
      <c r="K90" s="13"/>
    </row>
    <row r="91" spans="1:11" ht="16.5">
      <c r="A91" s="66"/>
      <c r="B91" s="68"/>
      <c r="C91" s="155" t="s">
        <v>259</v>
      </c>
      <c r="D91" s="12" t="s">
        <v>260</v>
      </c>
      <c r="E91" s="13"/>
      <c r="F91" s="13"/>
      <c r="G91" s="13"/>
      <c r="H91" s="13"/>
      <c r="I91" s="49"/>
      <c r="J91" s="13"/>
      <c r="K91" s="13"/>
    </row>
    <row r="92" spans="1:14" ht="16.5">
      <c r="A92" s="66"/>
      <c r="B92" s="68"/>
      <c r="C92" s="11"/>
      <c r="D92" s="72" t="s">
        <v>261</v>
      </c>
      <c r="E92" s="41">
        <f>SUM(E72:E91)</f>
        <v>0</v>
      </c>
      <c r="F92" s="41">
        <f>SUM(F72:F91)</f>
        <v>0</v>
      </c>
      <c r="G92" s="41">
        <f>SUM(G72+G77+G82+G85+G89+G90+G91)</f>
        <v>38687</v>
      </c>
      <c r="H92" s="41">
        <f>SUM(H72+H77+H82+H85+H89+H90+H91)</f>
        <v>41862</v>
      </c>
      <c r="I92" s="41">
        <f>SUM(I72+I77+I82+I85+I89+I90+I91)</f>
        <v>0</v>
      </c>
      <c r="J92" s="41">
        <f>SUM(J72+J77+J82+J85+J89+J90+J91)</f>
        <v>0</v>
      </c>
      <c r="K92" s="41">
        <f>SUM(K72+K77+K82+K85+K89+K90+K91)</f>
        <v>48499</v>
      </c>
      <c r="N92" s="25">
        <f>SUM(K92-K70)</f>
        <v>0</v>
      </c>
    </row>
    <row r="93" spans="1:11" ht="17.25" thickBot="1">
      <c r="A93" s="66"/>
      <c r="B93" s="65" t="s">
        <v>22</v>
      </c>
      <c r="C93" s="16"/>
      <c r="D93" s="75" t="s">
        <v>266</v>
      </c>
      <c r="E93" s="76"/>
      <c r="F93" s="76"/>
      <c r="G93" s="76"/>
      <c r="H93" s="76"/>
      <c r="I93" s="76"/>
      <c r="J93" s="76"/>
      <c r="K93" s="76"/>
    </row>
    <row r="94" spans="1:11" ht="18" thickBot="1" thickTop="1">
      <c r="A94" s="63" t="s">
        <v>331</v>
      </c>
      <c r="B94" s="64"/>
      <c r="C94" s="201"/>
      <c r="D94" s="1131" t="s">
        <v>332</v>
      </c>
      <c r="E94" s="1131"/>
      <c r="F94" s="1131"/>
      <c r="G94" s="1131"/>
      <c r="H94" s="1131"/>
      <c r="I94" s="1131"/>
      <c r="J94" s="1131"/>
      <c r="K94" s="1140"/>
    </row>
    <row r="95" spans="1:11" ht="17.25" thickTop="1">
      <c r="A95" s="1194"/>
      <c r="B95" s="249"/>
      <c r="C95" s="250"/>
      <c r="D95" s="1207" t="s">
        <v>673</v>
      </c>
      <c r="E95" s="1208"/>
      <c r="F95" s="1208"/>
      <c r="G95" s="1208"/>
      <c r="H95" s="1208"/>
      <c r="I95" s="1208"/>
      <c r="J95" s="1208"/>
      <c r="K95" s="1209"/>
    </row>
    <row r="96" spans="1:11" ht="16.5">
      <c r="A96" s="66"/>
      <c r="B96" s="65" t="s">
        <v>14</v>
      </c>
      <c r="C96" s="10"/>
      <c r="D96" s="1128" t="s">
        <v>240</v>
      </c>
      <c r="E96" s="1129"/>
      <c r="F96" s="1129"/>
      <c r="G96" s="1129"/>
      <c r="H96" s="1129"/>
      <c r="I96" s="1129"/>
      <c r="J96" s="1129"/>
      <c r="K96" s="1136"/>
    </row>
    <row r="97" spans="1:11" ht="16.5">
      <c r="A97" s="66"/>
      <c r="B97" s="68"/>
      <c r="C97" s="15" t="s">
        <v>16</v>
      </c>
      <c r="D97" s="12" t="s">
        <v>623</v>
      </c>
      <c r="E97" s="13">
        <f>SUM(E98:E102)</f>
        <v>0</v>
      </c>
      <c r="F97" s="13">
        <f>SUM(F98:F102)</f>
        <v>0</v>
      </c>
      <c r="G97" s="13">
        <v>0</v>
      </c>
      <c r="H97" s="13">
        <v>23</v>
      </c>
      <c r="I97" s="13"/>
      <c r="J97" s="13">
        <v>672</v>
      </c>
      <c r="K97" s="13">
        <v>975</v>
      </c>
    </row>
    <row r="98" spans="1:11" ht="16.5" hidden="1">
      <c r="A98" s="66"/>
      <c r="B98" s="68"/>
      <c r="C98" s="10" t="s">
        <v>54</v>
      </c>
      <c r="D98" s="12" t="s">
        <v>333</v>
      </c>
      <c r="E98" s="13"/>
      <c r="F98" s="13"/>
      <c r="G98" s="13"/>
      <c r="H98" s="13"/>
      <c r="I98" s="13"/>
      <c r="J98" s="13"/>
      <c r="K98" s="13"/>
    </row>
    <row r="99" spans="1:11" ht="16.5" hidden="1">
      <c r="A99" s="66"/>
      <c r="B99" s="68"/>
      <c r="C99" s="10" t="s">
        <v>627</v>
      </c>
      <c r="D99" s="12" t="s">
        <v>334</v>
      </c>
      <c r="E99" s="13"/>
      <c r="F99" s="13"/>
      <c r="G99" s="13"/>
      <c r="H99" s="13"/>
      <c r="I99" s="13"/>
      <c r="J99" s="13"/>
      <c r="K99" s="13"/>
    </row>
    <row r="100" spans="1:11" ht="16.5" hidden="1">
      <c r="A100" s="66"/>
      <c r="B100" s="68"/>
      <c r="C100" s="10" t="s">
        <v>628</v>
      </c>
      <c r="D100" s="12" t="s">
        <v>301</v>
      </c>
      <c r="E100" s="13"/>
      <c r="F100" s="13"/>
      <c r="G100" s="13"/>
      <c r="H100" s="13"/>
      <c r="I100" s="13"/>
      <c r="J100" s="13"/>
      <c r="K100" s="13"/>
    </row>
    <row r="101" spans="1:11" ht="16.5" hidden="1">
      <c r="A101" s="66"/>
      <c r="B101" s="68"/>
      <c r="C101" s="10" t="s">
        <v>629</v>
      </c>
      <c r="D101" s="12" t="s">
        <v>335</v>
      </c>
      <c r="E101" s="13"/>
      <c r="F101" s="13"/>
      <c r="G101" s="13"/>
      <c r="H101" s="13"/>
      <c r="I101" s="13"/>
      <c r="J101" s="13"/>
      <c r="K101" s="13"/>
    </row>
    <row r="102" spans="1:11" ht="16.5" hidden="1">
      <c r="A102" s="66"/>
      <c r="B102" s="68"/>
      <c r="C102" s="10" t="s">
        <v>630</v>
      </c>
      <c r="D102" s="12" t="s">
        <v>184</v>
      </c>
      <c r="E102" s="13"/>
      <c r="F102" s="13"/>
      <c r="G102" s="13"/>
      <c r="H102" s="13"/>
      <c r="I102" s="13"/>
      <c r="J102" s="13"/>
      <c r="K102" s="13"/>
    </row>
    <row r="103" spans="1:11" ht="16.5">
      <c r="A103" s="66"/>
      <c r="B103" s="68"/>
      <c r="C103" s="15" t="s">
        <v>17</v>
      </c>
      <c r="D103" s="12" t="s">
        <v>1209</v>
      </c>
      <c r="E103" s="13">
        <v>0</v>
      </c>
      <c r="F103" s="13">
        <v>0</v>
      </c>
      <c r="G103" s="13">
        <v>0</v>
      </c>
      <c r="H103" s="13">
        <v>0</v>
      </c>
      <c r="I103" s="13"/>
      <c r="J103" s="13"/>
      <c r="K103" s="13"/>
    </row>
    <row r="104" spans="1:11" ht="16.5">
      <c r="A104" s="66"/>
      <c r="B104" s="68"/>
      <c r="C104" s="15" t="s">
        <v>36</v>
      </c>
      <c r="D104" s="12" t="s">
        <v>243</v>
      </c>
      <c r="E104" s="13">
        <f aca="true" t="shared" si="16" ref="E104:J104">SUM(E105)</f>
        <v>0</v>
      </c>
      <c r="F104" s="13">
        <f t="shared" si="16"/>
        <v>0</v>
      </c>
      <c r="G104" s="13">
        <f t="shared" si="16"/>
        <v>25143</v>
      </c>
      <c r="H104" s="13">
        <f t="shared" si="16"/>
        <v>27810</v>
      </c>
      <c r="I104" s="13">
        <f t="shared" si="16"/>
        <v>23873</v>
      </c>
      <c r="J104" s="13">
        <f t="shared" si="16"/>
        <v>0</v>
      </c>
      <c r="K104" s="13">
        <f>SUM(K105)</f>
        <v>19691</v>
      </c>
    </row>
    <row r="105" spans="1:11" ht="16.5">
      <c r="A105" s="174"/>
      <c r="B105" s="175"/>
      <c r="C105" s="51" t="s">
        <v>124</v>
      </c>
      <c r="D105" s="47" t="s">
        <v>244</v>
      </c>
      <c r="E105" s="48">
        <f aca="true" t="shared" si="17" ref="E105:J105">SUM(E106+E111+E116)</f>
        <v>0</v>
      </c>
      <c r="F105" s="48">
        <f t="shared" si="17"/>
        <v>0</v>
      </c>
      <c r="G105" s="48">
        <f t="shared" si="17"/>
        <v>25143</v>
      </c>
      <c r="H105" s="48">
        <f t="shared" si="17"/>
        <v>27810</v>
      </c>
      <c r="I105" s="48">
        <f t="shared" si="17"/>
        <v>23873</v>
      </c>
      <c r="J105" s="48">
        <f t="shared" si="17"/>
        <v>0</v>
      </c>
      <c r="K105" s="48">
        <f>SUM(K106+K111+K116)</f>
        <v>19691</v>
      </c>
    </row>
    <row r="106" spans="1:11" ht="16.5">
      <c r="A106" s="66"/>
      <c r="B106" s="68"/>
      <c r="C106" s="10" t="s">
        <v>72</v>
      </c>
      <c r="D106" s="12" t="s">
        <v>245</v>
      </c>
      <c r="E106" s="13">
        <f>SUM(E107:E108)</f>
        <v>0</v>
      </c>
      <c r="F106" s="13">
        <f>SUM(F107:F108)</f>
        <v>0</v>
      </c>
      <c r="G106" s="13">
        <f>SUM(G107:G108)</f>
        <v>9000</v>
      </c>
      <c r="H106" s="13">
        <f>SUM(H107:H108)</f>
        <v>9000</v>
      </c>
      <c r="I106" s="13">
        <f>SUM(I107:I110)</f>
        <v>9211</v>
      </c>
      <c r="J106" s="13">
        <f>SUM(J107:J110)</f>
        <v>0</v>
      </c>
      <c r="K106" s="13">
        <f>SUM(K107:K110)</f>
        <v>4428</v>
      </c>
    </row>
    <row r="107" spans="1:11" ht="16.5">
      <c r="A107" s="66"/>
      <c r="B107" s="68"/>
      <c r="C107" s="10" t="s">
        <v>73</v>
      </c>
      <c r="D107" s="248" t="s">
        <v>658</v>
      </c>
      <c r="E107" s="13"/>
      <c r="F107" s="13"/>
      <c r="G107" s="13">
        <v>6000</v>
      </c>
      <c r="H107" s="13">
        <v>6000</v>
      </c>
      <c r="I107" s="13">
        <v>5263</v>
      </c>
      <c r="J107" s="13"/>
      <c r="K107" s="13">
        <v>2657</v>
      </c>
    </row>
    <row r="108" spans="1:11" ht="16.5">
      <c r="A108" s="66"/>
      <c r="B108" s="68"/>
      <c r="C108" s="10" t="s">
        <v>657</v>
      </c>
      <c r="D108" s="248" t="s">
        <v>662</v>
      </c>
      <c r="E108" s="13"/>
      <c r="F108" s="13"/>
      <c r="G108" s="13">
        <v>3000</v>
      </c>
      <c r="H108" s="13">
        <v>3000</v>
      </c>
      <c r="I108" s="13">
        <v>2924</v>
      </c>
      <c r="J108" s="13"/>
      <c r="K108" s="13">
        <v>1594</v>
      </c>
    </row>
    <row r="109" spans="1:11" ht="16.5">
      <c r="A109" s="66"/>
      <c r="B109" s="68"/>
      <c r="C109" s="10" t="s">
        <v>659</v>
      </c>
      <c r="D109" s="248" t="s">
        <v>1165</v>
      </c>
      <c r="E109" s="13"/>
      <c r="F109" s="13"/>
      <c r="G109" s="13"/>
      <c r="H109" s="13"/>
      <c r="I109" s="13">
        <v>293</v>
      </c>
      <c r="J109" s="13"/>
      <c r="K109" s="13">
        <v>177</v>
      </c>
    </row>
    <row r="110" spans="1:11" ht="16.5">
      <c r="A110" s="66"/>
      <c r="B110" s="68"/>
      <c r="C110" s="10" t="s">
        <v>660</v>
      </c>
      <c r="D110" s="248" t="s">
        <v>663</v>
      </c>
      <c r="E110" s="13"/>
      <c r="F110" s="13"/>
      <c r="G110" s="13"/>
      <c r="H110" s="13"/>
      <c r="I110" s="13">
        <v>731</v>
      </c>
      <c r="J110" s="13"/>
      <c r="K110" s="13"/>
    </row>
    <row r="111" spans="1:11" ht="16.5">
      <c r="A111" s="66"/>
      <c r="B111" s="68"/>
      <c r="C111" s="10" t="s">
        <v>1464</v>
      </c>
      <c r="D111" s="247" t="s">
        <v>665</v>
      </c>
      <c r="E111" s="13">
        <f>SUM(E112:E113)</f>
        <v>0</v>
      </c>
      <c r="F111" s="13">
        <f>SUM(F112:F113)</f>
        <v>0</v>
      </c>
      <c r="G111" s="13">
        <f>SUM(G112:G113)</f>
        <v>3840</v>
      </c>
      <c r="H111" s="13">
        <f>SUM(H112:H113)</f>
        <v>3840</v>
      </c>
      <c r="I111" s="13">
        <f>SUM(I112:I115)</f>
        <v>4032</v>
      </c>
      <c r="J111" s="13">
        <f>SUM(J112:J115)</f>
        <v>0</v>
      </c>
      <c r="K111" s="13">
        <f>SUM(K112:K115)</f>
        <v>1500</v>
      </c>
    </row>
    <row r="112" spans="1:11" ht="16.5">
      <c r="A112" s="66"/>
      <c r="B112" s="68"/>
      <c r="C112" s="10" t="s">
        <v>666</v>
      </c>
      <c r="D112" s="248" t="s">
        <v>658</v>
      </c>
      <c r="E112" s="13"/>
      <c r="F112" s="13"/>
      <c r="G112" s="13">
        <v>2560</v>
      </c>
      <c r="H112" s="13">
        <v>2560</v>
      </c>
      <c r="I112" s="13">
        <v>2304</v>
      </c>
      <c r="J112" s="13"/>
      <c r="K112" s="13">
        <v>900</v>
      </c>
    </row>
    <row r="113" spans="1:11" ht="16.5">
      <c r="A113" s="66"/>
      <c r="B113" s="68"/>
      <c r="C113" s="10" t="s">
        <v>667</v>
      </c>
      <c r="D113" s="248" t="s">
        <v>662</v>
      </c>
      <c r="E113" s="13"/>
      <c r="F113" s="13"/>
      <c r="G113" s="13">
        <v>1280</v>
      </c>
      <c r="H113" s="13">
        <v>1280</v>
      </c>
      <c r="I113" s="13">
        <v>1280</v>
      </c>
      <c r="J113" s="13"/>
      <c r="K113" s="13">
        <v>540</v>
      </c>
    </row>
    <row r="114" spans="1:11" ht="16.5">
      <c r="A114" s="66"/>
      <c r="B114" s="68"/>
      <c r="C114" s="10" t="s">
        <v>668</v>
      </c>
      <c r="D114" s="248" t="s">
        <v>1165</v>
      </c>
      <c r="E114" s="13"/>
      <c r="F114" s="13"/>
      <c r="G114" s="13"/>
      <c r="H114" s="13"/>
      <c r="I114" s="13">
        <v>128</v>
      </c>
      <c r="J114" s="13"/>
      <c r="K114" s="13">
        <v>60</v>
      </c>
    </row>
    <row r="115" spans="1:11" ht="16.5">
      <c r="A115" s="66"/>
      <c r="B115" s="68"/>
      <c r="C115" s="10" t="s">
        <v>669</v>
      </c>
      <c r="D115" s="248" t="s">
        <v>663</v>
      </c>
      <c r="E115" s="13"/>
      <c r="F115" s="13"/>
      <c r="G115" s="13"/>
      <c r="H115" s="13"/>
      <c r="I115" s="13">
        <v>320</v>
      </c>
      <c r="J115" s="13"/>
      <c r="K115" s="13"/>
    </row>
    <row r="116" spans="1:11" ht="16.5">
      <c r="A116" s="66"/>
      <c r="B116" s="68"/>
      <c r="C116" s="10" t="s">
        <v>496</v>
      </c>
      <c r="D116" s="247" t="s">
        <v>670</v>
      </c>
      <c r="E116" s="13">
        <f aca="true" t="shared" si="18" ref="E116:K116">SUM(E117:E117)</f>
        <v>0</v>
      </c>
      <c r="F116" s="13">
        <f t="shared" si="18"/>
        <v>0</v>
      </c>
      <c r="G116" s="13">
        <f t="shared" si="18"/>
        <v>12303</v>
      </c>
      <c r="H116" s="13">
        <f t="shared" si="18"/>
        <v>14970</v>
      </c>
      <c r="I116" s="13">
        <f t="shared" si="18"/>
        <v>10630</v>
      </c>
      <c r="J116" s="13">
        <f t="shared" si="18"/>
        <v>0</v>
      </c>
      <c r="K116" s="13">
        <f t="shared" si="18"/>
        <v>13763</v>
      </c>
    </row>
    <row r="117" spans="1:13" ht="16.5">
      <c r="A117" s="66"/>
      <c r="B117" s="68"/>
      <c r="C117" s="10" t="s">
        <v>671</v>
      </c>
      <c r="D117" s="248" t="s">
        <v>658</v>
      </c>
      <c r="E117" s="13"/>
      <c r="F117" s="13"/>
      <c r="G117" s="13">
        <v>12303</v>
      </c>
      <c r="H117" s="13">
        <v>14970</v>
      </c>
      <c r="I117" s="13">
        <v>10630</v>
      </c>
      <c r="J117" s="13"/>
      <c r="K117" s="13">
        <v>13763</v>
      </c>
      <c r="M117" s="25">
        <f>SUM(K137-K123)</f>
        <v>0</v>
      </c>
    </row>
    <row r="118" spans="1:11" ht="16.5">
      <c r="A118" s="66"/>
      <c r="B118" s="68"/>
      <c r="C118" s="15" t="s">
        <v>404</v>
      </c>
      <c r="D118" s="12" t="s">
        <v>231</v>
      </c>
      <c r="E118" s="13">
        <f aca="true" t="shared" si="19" ref="E118:K118">SUM(E119)</f>
        <v>0</v>
      </c>
      <c r="F118" s="13">
        <f t="shared" si="19"/>
        <v>0</v>
      </c>
      <c r="G118" s="13">
        <f t="shared" si="19"/>
        <v>1534</v>
      </c>
      <c r="H118" s="13">
        <f t="shared" si="19"/>
        <v>1534</v>
      </c>
      <c r="I118" s="13">
        <f t="shared" si="19"/>
        <v>1093</v>
      </c>
      <c r="J118" s="13">
        <f t="shared" si="19"/>
        <v>0</v>
      </c>
      <c r="K118" s="13">
        <f t="shared" si="19"/>
        <v>3160</v>
      </c>
    </row>
    <row r="119" spans="1:11" ht="16.5">
      <c r="A119" s="66"/>
      <c r="B119" s="68"/>
      <c r="C119" s="10" t="s">
        <v>353</v>
      </c>
      <c r="D119" s="248" t="s">
        <v>662</v>
      </c>
      <c r="E119" s="13"/>
      <c r="F119" s="13"/>
      <c r="G119" s="13">
        <v>1534</v>
      </c>
      <c r="H119" s="13">
        <v>1534</v>
      </c>
      <c r="I119" s="13">
        <v>1093</v>
      </c>
      <c r="J119" s="13"/>
      <c r="K119" s="13">
        <v>3160</v>
      </c>
    </row>
    <row r="120" spans="1:11" ht="16.5" hidden="1">
      <c r="A120" s="66"/>
      <c r="B120" s="68"/>
      <c r="C120" s="10"/>
      <c r="D120" s="248"/>
      <c r="E120" s="13"/>
      <c r="F120" s="13"/>
      <c r="G120" s="13"/>
      <c r="H120" s="13"/>
      <c r="I120" s="13"/>
      <c r="J120" s="13"/>
      <c r="K120" s="13"/>
    </row>
    <row r="121" spans="1:11" ht="16.5" hidden="1">
      <c r="A121" s="66"/>
      <c r="B121" s="68"/>
      <c r="C121" s="10"/>
      <c r="D121" s="12"/>
      <c r="E121" s="13"/>
      <c r="F121" s="13"/>
      <c r="G121" s="13"/>
      <c r="H121" s="13"/>
      <c r="I121" s="13"/>
      <c r="J121" s="13"/>
      <c r="K121" s="13"/>
    </row>
    <row r="122" spans="1:11" ht="16.5">
      <c r="A122" s="66"/>
      <c r="B122" s="68"/>
      <c r="C122" s="15" t="s">
        <v>38</v>
      </c>
      <c r="D122" s="12" t="s">
        <v>1429</v>
      </c>
      <c r="E122" s="13"/>
      <c r="F122" s="13"/>
      <c r="G122" s="13"/>
      <c r="H122" s="13">
        <v>146</v>
      </c>
      <c r="I122" s="13"/>
      <c r="J122" s="13"/>
      <c r="K122" s="13"/>
    </row>
    <row r="123" spans="1:11" ht="16.5">
      <c r="A123" s="66"/>
      <c r="B123" s="68"/>
      <c r="C123" s="10"/>
      <c r="D123" s="69" t="s">
        <v>248</v>
      </c>
      <c r="E123" s="41">
        <f>SUM(E97+E104+E103+E118)</f>
        <v>0</v>
      </c>
      <c r="F123" s="41">
        <f>SUM(F97+F104+F103+F118)</f>
        <v>0</v>
      </c>
      <c r="G123" s="41">
        <f>SUM(G97+G104+G103+G118)</f>
        <v>26677</v>
      </c>
      <c r="H123" s="41">
        <f>SUM(H97+H104+H103+H118)</f>
        <v>29367</v>
      </c>
      <c r="I123" s="41">
        <f>SUM(I97+I104+I103+I118)</f>
        <v>24966</v>
      </c>
      <c r="J123" s="41">
        <f>SUM(J97+J104+J103+J118+J122)</f>
        <v>672</v>
      </c>
      <c r="K123" s="41">
        <f>SUM(K97+K104+K103+K118+K122)</f>
        <v>23826</v>
      </c>
    </row>
    <row r="124" spans="1:11" ht="16.5">
      <c r="A124" s="66"/>
      <c r="B124" s="65" t="s">
        <v>19</v>
      </c>
      <c r="C124" s="11"/>
      <c r="D124" s="1128" t="s">
        <v>250</v>
      </c>
      <c r="E124" s="1129"/>
      <c r="F124" s="1129"/>
      <c r="G124" s="1129"/>
      <c r="H124" s="1129"/>
      <c r="I124" s="1129"/>
      <c r="J124" s="1129"/>
      <c r="K124" s="1136"/>
    </row>
    <row r="125" spans="1:11" ht="16.5">
      <c r="A125" s="66"/>
      <c r="B125" s="68"/>
      <c r="C125" s="11" t="s">
        <v>20</v>
      </c>
      <c r="D125" s="12" t="s">
        <v>251</v>
      </c>
      <c r="E125" s="13">
        <f aca="true" t="shared" si="20" ref="E125:K125">SUM(E126:E127)</f>
        <v>0</v>
      </c>
      <c r="F125" s="13">
        <f t="shared" si="20"/>
        <v>0</v>
      </c>
      <c r="G125" s="13">
        <f t="shared" si="20"/>
        <v>15196</v>
      </c>
      <c r="H125" s="13">
        <f t="shared" si="20"/>
        <v>16552</v>
      </c>
      <c r="I125" s="13">
        <f t="shared" si="20"/>
        <v>13900</v>
      </c>
      <c r="J125" s="13">
        <f t="shared" si="20"/>
        <v>0</v>
      </c>
      <c r="K125" s="13">
        <f t="shared" si="20"/>
        <v>14113</v>
      </c>
    </row>
    <row r="126" spans="1:11" ht="16.5">
      <c r="A126" s="66"/>
      <c r="B126" s="68"/>
      <c r="C126" s="11" t="s">
        <v>144</v>
      </c>
      <c r="D126" s="248" t="s">
        <v>658</v>
      </c>
      <c r="E126" s="13"/>
      <c r="F126" s="13"/>
      <c r="G126" s="13">
        <v>10859</v>
      </c>
      <c r="H126" s="13">
        <v>12215</v>
      </c>
      <c r="I126" s="13">
        <v>9955</v>
      </c>
      <c r="J126" s="13"/>
      <c r="K126" s="13">
        <v>9936</v>
      </c>
    </row>
    <row r="127" spans="1:11" ht="16.5">
      <c r="A127" s="66"/>
      <c r="B127" s="68"/>
      <c r="C127" s="11" t="s">
        <v>186</v>
      </c>
      <c r="D127" s="248" t="s">
        <v>662</v>
      </c>
      <c r="E127" s="13"/>
      <c r="F127" s="13"/>
      <c r="G127" s="13">
        <v>4337</v>
      </c>
      <c r="H127" s="13">
        <v>4337</v>
      </c>
      <c r="I127" s="13">
        <v>3945</v>
      </c>
      <c r="J127" s="13"/>
      <c r="K127" s="13">
        <v>4177</v>
      </c>
    </row>
    <row r="128" spans="1:11" ht="16.5">
      <c r="A128" s="66"/>
      <c r="B128" s="68"/>
      <c r="C128" s="11" t="s">
        <v>44</v>
      </c>
      <c r="D128" s="12" t="s">
        <v>35</v>
      </c>
      <c r="E128" s="13">
        <f aca="true" t="shared" si="21" ref="E128:K128">SUM(E129:E130)</f>
        <v>0</v>
      </c>
      <c r="F128" s="13">
        <f t="shared" si="21"/>
        <v>0</v>
      </c>
      <c r="G128" s="13">
        <f t="shared" si="21"/>
        <v>5194</v>
      </c>
      <c r="H128" s="13">
        <f t="shared" si="21"/>
        <v>5575</v>
      </c>
      <c r="I128" s="13">
        <f t="shared" si="21"/>
        <v>4436</v>
      </c>
      <c r="J128" s="13">
        <f t="shared" si="21"/>
        <v>0</v>
      </c>
      <c r="K128" s="13">
        <f t="shared" si="21"/>
        <v>3611</v>
      </c>
    </row>
    <row r="129" spans="1:11" ht="16.5">
      <c r="A129" s="66"/>
      <c r="B129" s="68"/>
      <c r="C129" s="11" t="s">
        <v>144</v>
      </c>
      <c r="D129" s="248" t="s">
        <v>658</v>
      </c>
      <c r="E129" s="13"/>
      <c r="F129" s="13"/>
      <c r="G129" s="13">
        <v>3717</v>
      </c>
      <c r="H129" s="13">
        <v>4098</v>
      </c>
      <c r="I129" s="13">
        <v>3084</v>
      </c>
      <c r="J129" s="13"/>
      <c r="K129" s="13">
        <v>2548</v>
      </c>
    </row>
    <row r="130" spans="1:11" ht="16.5">
      <c r="A130" s="66"/>
      <c r="B130" s="68"/>
      <c r="C130" s="11" t="s">
        <v>1461</v>
      </c>
      <c r="D130" s="248" t="s">
        <v>662</v>
      </c>
      <c r="E130" s="13"/>
      <c r="F130" s="13"/>
      <c r="G130" s="13">
        <v>1477</v>
      </c>
      <c r="H130" s="13">
        <v>1477</v>
      </c>
      <c r="I130" s="13">
        <v>1352</v>
      </c>
      <c r="J130" s="13"/>
      <c r="K130" s="13">
        <v>1063</v>
      </c>
    </row>
    <row r="131" spans="1:11" ht="16.5">
      <c r="A131" s="66"/>
      <c r="B131" s="68"/>
      <c r="C131" s="11" t="s">
        <v>45</v>
      </c>
      <c r="D131" s="12" t="s">
        <v>253</v>
      </c>
      <c r="E131" s="13">
        <f aca="true" t="shared" si="22" ref="E131:K131">SUM(E132:E133)</f>
        <v>0</v>
      </c>
      <c r="F131" s="13">
        <f t="shared" si="22"/>
        <v>0</v>
      </c>
      <c r="G131" s="13">
        <f t="shared" si="22"/>
        <v>6287</v>
      </c>
      <c r="H131" s="13">
        <f t="shared" si="22"/>
        <v>7240</v>
      </c>
      <c r="I131" s="13">
        <f t="shared" si="22"/>
        <v>5968</v>
      </c>
      <c r="J131" s="13">
        <f t="shared" si="22"/>
        <v>0</v>
      </c>
      <c r="K131" s="13">
        <f t="shared" si="22"/>
        <v>6102</v>
      </c>
    </row>
    <row r="132" spans="1:11" ht="16.5">
      <c r="A132" s="66"/>
      <c r="B132" s="68"/>
      <c r="C132" s="11" t="s">
        <v>254</v>
      </c>
      <c r="D132" s="248" t="s">
        <v>658</v>
      </c>
      <c r="E132" s="13"/>
      <c r="F132" s="13"/>
      <c r="G132" s="13">
        <v>6287</v>
      </c>
      <c r="H132" s="13">
        <v>7240</v>
      </c>
      <c r="I132" s="13">
        <v>5968</v>
      </c>
      <c r="J132" s="13"/>
      <c r="K132" s="13">
        <v>6048</v>
      </c>
    </row>
    <row r="133" spans="1:11" ht="16.5">
      <c r="A133" s="66"/>
      <c r="B133" s="68"/>
      <c r="C133" s="11" t="s">
        <v>1461</v>
      </c>
      <c r="D133" s="248" t="s">
        <v>662</v>
      </c>
      <c r="E133" s="13"/>
      <c r="F133" s="13"/>
      <c r="G133" s="13"/>
      <c r="H133" s="13"/>
      <c r="I133" s="13"/>
      <c r="J133" s="13"/>
      <c r="K133" s="13">
        <v>54</v>
      </c>
    </row>
    <row r="134" spans="1:11" ht="16.5">
      <c r="A134" s="66"/>
      <c r="B134" s="68"/>
      <c r="C134" s="11" t="s">
        <v>49</v>
      </c>
      <c r="D134" s="12" t="s">
        <v>256</v>
      </c>
      <c r="E134" s="13"/>
      <c r="F134" s="13"/>
      <c r="G134" s="13"/>
      <c r="H134" s="13"/>
      <c r="I134" s="13"/>
      <c r="J134" s="13"/>
      <c r="K134" s="13"/>
    </row>
    <row r="135" spans="1:11" ht="16.5">
      <c r="A135" s="66"/>
      <c r="B135" s="68"/>
      <c r="C135" s="11" t="s">
        <v>50</v>
      </c>
      <c r="D135" s="12" t="s">
        <v>257</v>
      </c>
      <c r="E135" s="13"/>
      <c r="F135" s="13"/>
      <c r="G135" s="13"/>
      <c r="H135" s="13">
        <v>146</v>
      </c>
      <c r="I135" s="13"/>
      <c r="J135" s="13"/>
      <c r="K135" s="13"/>
    </row>
    <row r="136" spans="1:11" ht="16.5">
      <c r="A136" s="66"/>
      <c r="B136" s="68"/>
      <c r="C136" s="11" t="s">
        <v>51</v>
      </c>
      <c r="D136" s="12" t="s">
        <v>260</v>
      </c>
      <c r="E136" s="13"/>
      <c r="F136" s="13"/>
      <c r="G136" s="13"/>
      <c r="H136" s="13"/>
      <c r="I136" s="13"/>
      <c r="J136" s="13"/>
      <c r="K136" s="13"/>
    </row>
    <row r="137" spans="1:11" ht="16.5">
      <c r="A137" s="66"/>
      <c r="B137" s="68"/>
      <c r="C137" s="11"/>
      <c r="D137" s="72" t="s">
        <v>261</v>
      </c>
      <c r="E137" s="41">
        <f aca="true" t="shared" si="23" ref="E137:K137">SUM(E125,E128,E131,E134,E135,E136,)</f>
        <v>0</v>
      </c>
      <c r="F137" s="41">
        <f t="shared" si="23"/>
        <v>0</v>
      </c>
      <c r="G137" s="41">
        <f t="shared" si="23"/>
        <v>26677</v>
      </c>
      <c r="H137" s="41">
        <f t="shared" si="23"/>
        <v>29513</v>
      </c>
      <c r="I137" s="41">
        <f t="shared" si="23"/>
        <v>24304</v>
      </c>
      <c r="J137" s="41">
        <f t="shared" si="23"/>
        <v>0</v>
      </c>
      <c r="K137" s="41">
        <f t="shared" si="23"/>
        <v>23826</v>
      </c>
    </row>
    <row r="138" spans="1:11" ht="16.5">
      <c r="A138" s="66"/>
      <c r="B138" s="65" t="s">
        <v>22</v>
      </c>
      <c r="C138" s="16"/>
      <c r="D138" s="75" t="s">
        <v>263</v>
      </c>
      <c r="E138" s="76"/>
      <c r="F138" s="76"/>
      <c r="G138" s="76"/>
      <c r="H138" s="76"/>
      <c r="I138" s="76">
        <v>8</v>
      </c>
      <c r="J138" s="85">
        <v>8.5</v>
      </c>
      <c r="K138" s="85">
        <v>8.5</v>
      </c>
    </row>
    <row r="139" spans="1:11" ht="16.5" hidden="1">
      <c r="A139" s="249"/>
      <c r="B139" s="249"/>
      <c r="C139" s="250"/>
      <c r="D139" s="309" t="s">
        <v>674</v>
      </c>
      <c r="E139" s="310"/>
      <c r="F139" s="310"/>
      <c r="G139" s="310"/>
      <c r="H139" s="310"/>
      <c r="I139" s="310"/>
      <c r="J139" s="310"/>
      <c r="K139" s="310"/>
    </row>
    <row r="140" spans="1:11" ht="16.5" hidden="1">
      <c r="A140" s="66"/>
      <c r="B140" s="65" t="s">
        <v>14</v>
      </c>
      <c r="C140" s="10"/>
      <c r="D140" s="253" t="s">
        <v>240</v>
      </c>
      <c r="E140" s="306"/>
      <c r="F140" s="306"/>
      <c r="G140" s="306"/>
      <c r="H140" s="306"/>
      <c r="I140" s="306"/>
      <c r="J140" s="306"/>
      <c r="K140" s="306"/>
    </row>
    <row r="141" spans="1:11" ht="16.5" hidden="1">
      <c r="A141" s="66"/>
      <c r="B141" s="68"/>
      <c r="C141" s="15" t="s">
        <v>16</v>
      </c>
      <c r="D141" s="12" t="s">
        <v>623</v>
      </c>
      <c r="E141" s="13">
        <f>SUM(E142:E146)</f>
        <v>0</v>
      </c>
      <c r="F141" s="13">
        <f>SUM(F142:F146)</f>
        <v>0</v>
      </c>
      <c r="G141" s="13">
        <v>1200</v>
      </c>
      <c r="H141" s="13">
        <v>1200</v>
      </c>
      <c r="I141" s="49"/>
      <c r="J141" s="13"/>
      <c r="K141" s="13"/>
    </row>
    <row r="142" spans="1:11" ht="16.5" customHeight="1" hidden="1">
      <c r="A142" s="66"/>
      <c r="B142" s="68"/>
      <c r="C142" s="10" t="s">
        <v>54</v>
      </c>
      <c r="D142" s="12" t="s">
        <v>333</v>
      </c>
      <c r="E142" s="13"/>
      <c r="F142" s="13"/>
      <c r="G142" s="13"/>
      <c r="H142" s="13"/>
      <c r="I142" s="49"/>
      <c r="J142" s="13"/>
      <c r="K142" s="13"/>
    </row>
    <row r="143" spans="1:11" ht="16.5" customHeight="1" hidden="1">
      <c r="A143" s="66"/>
      <c r="B143" s="68"/>
      <c r="C143" s="10" t="s">
        <v>627</v>
      </c>
      <c r="D143" s="12" t="s">
        <v>334</v>
      </c>
      <c r="E143" s="13"/>
      <c r="F143" s="13"/>
      <c r="G143" s="13"/>
      <c r="H143" s="13"/>
      <c r="I143" s="49"/>
      <c r="J143" s="13"/>
      <c r="K143" s="13"/>
    </row>
    <row r="144" spans="1:11" ht="16.5" customHeight="1" hidden="1">
      <c r="A144" s="66"/>
      <c r="B144" s="68"/>
      <c r="C144" s="10" t="s">
        <v>628</v>
      </c>
      <c r="D144" s="12" t="s">
        <v>301</v>
      </c>
      <c r="E144" s="13"/>
      <c r="F144" s="13"/>
      <c r="G144" s="13"/>
      <c r="H144" s="13"/>
      <c r="I144" s="49"/>
      <c r="J144" s="13"/>
      <c r="K144" s="13"/>
    </row>
    <row r="145" spans="1:11" ht="16.5" customHeight="1" hidden="1">
      <c r="A145" s="66"/>
      <c r="B145" s="68"/>
      <c r="C145" s="10" t="s">
        <v>629</v>
      </c>
      <c r="D145" s="12" t="s">
        <v>335</v>
      </c>
      <c r="E145" s="13"/>
      <c r="F145" s="13"/>
      <c r="G145" s="13"/>
      <c r="H145" s="13"/>
      <c r="I145" s="49"/>
      <c r="J145" s="13"/>
      <c r="K145" s="13"/>
    </row>
    <row r="146" spans="1:11" ht="16.5" customHeight="1" hidden="1">
      <c r="A146" s="66"/>
      <c r="B146" s="68"/>
      <c r="C146" s="10" t="s">
        <v>630</v>
      </c>
      <c r="D146" s="12" t="s">
        <v>184</v>
      </c>
      <c r="E146" s="13"/>
      <c r="F146" s="13"/>
      <c r="G146" s="13"/>
      <c r="H146" s="13"/>
      <c r="I146" s="49"/>
      <c r="J146" s="13"/>
      <c r="K146" s="13"/>
    </row>
    <row r="147" spans="1:11" ht="16.5" hidden="1">
      <c r="A147" s="66"/>
      <c r="B147" s="68"/>
      <c r="C147" s="15" t="s">
        <v>17</v>
      </c>
      <c r="D147" s="12" t="s">
        <v>625</v>
      </c>
      <c r="E147" s="13">
        <v>0</v>
      </c>
      <c r="F147" s="13">
        <v>0</v>
      </c>
      <c r="G147" s="13">
        <v>0</v>
      </c>
      <c r="H147" s="13">
        <v>0</v>
      </c>
      <c r="I147" s="49"/>
      <c r="J147" s="13"/>
      <c r="K147" s="13"/>
    </row>
    <row r="148" spans="1:11" ht="16.5" hidden="1">
      <c r="A148" s="66"/>
      <c r="B148" s="68"/>
      <c r="C148" s="15" t="s">
        <v>36</v>
      </c>
      <c r="D148" s="12" t="s">
        <v>243</v>
      </c>
      <c r="E148" s="13">
        <f>SUM(E149)</f>
        <v>0</v>
      </c>
      <c r="F148" s="13">
        <f>SUM(F149)</f>
        <v>0</v>
      </c>
      <c r="G148" s="13">
        <f>SUM(G149)</f>
        <v>9197</v>
      </c>
      <c r="H148" s="13">
        <f>SUM(H149)</f>
        <v>9158</v>
      </c>
      <c r="I148" s="49"/>
      <c r="J148" s="13"/>
      <c r="K148" s="13"/>
    </row>
    <row r="149" spans="1:11" ht="16.5" hidden="1">
      <c r="A149" s="174"/>
      <c r="B149" s="175"/>
      <c r="C149" s="51" t="s">
        <v>124</v>
      </c>
      <c r="D149" s="47" t="s">
        <v>244</v>
      </c>
      <c r="E149" s="48">
        <f>SUM(E150+E152+E154)</f>
        <v>0</v>
      </c>
      <c r="F149" s="48">
        <f>SUM(F150+F152+F154)</f>
        <v>0</v>
      </c>
      <c r="G149" s="48">
        <f>SUM(G150+G152+G154)</f>
        <v>9197</v>
      </c>
      <c r="H149" s="48">
        <f>SUM(H150+H152+H154)</f>
        <v>9158</v>
      </c>
      <c r="I149" s="169"/>
      <c r="J149" s="48"/>
      <c r="K149" s="48"/>
    </row>
    <row r="150" spans="1:11" ht="16.5" hidden="1">
      <c r="A150" s="66"/>
      <c r="B150" s="68"/>
      <c r="C150" s="10" t="s">
        <v>72</v>
      </c>
      <c r="D150" s="12" t="s">
        <v>675</v>
      </c>
      <c r="E150" s="13">
        <f>SUM(E151:E151)</f>
        <v>0</v>
      </c>
      <c r="F150" s="13">
        <f>SUM(F151:F151)</f>
        <v>0</v>
      </c>
      <c r="G150" s="13">
        <f>SUM(G151:G151)</f>
        <v>3990</v>
      </c>
      <c r="H150" s="13">
        <f>SUM(H151:H151)</f>
        <v>3990</v>
      </c>
      <c r="I150" s="49"/>
      <c r="J150" s="13"/>
      <c r="K150" s="13"/>
    </row>
    <row r="151" spans="1:11" ht="16.5" hidden="1">
      <c r="A151" s="66"/>
      <c r="B151" s="68"/>
      <c r="C151" s="10"/>
      <c r="D151" s="248" t="s">
        <v>658</v>
      </c>
      <c r="E151" s="13"/>
      <c r="F151" s="13"/>
      <c r="G151" s="13">
        <v>3990</v>
      </c>
      <c r="H151" s="13">
        <v>3990</v>
      </c>
      <c r="I151" s="49"/>
      <c r="J151" s="13"/>
      <c r="K151" s="13"/>
    </row>
    <row r="152" spans="1:11" ht="16.5" hidden="1">
      <c r="A152" s="66"/>
      <c r="B152" s="68"/>
      <c r="C152" s="10"/>
      <c r="D152" s="247" t="s">
        <v>665</v>
      </c>
      <c r="E152" s="13">
        <f>SUM(E153:E153)</f>
        <v>0</v>
      </c>
      <c r="F152" s="13">
        <f>SUM(F153:F153)</f>
        <v>0</v>
      </c>
      <c r="G152" s="13">
        <f>SUM(G153:G153)</f>
        <v>1008</v>
      </c>
      <c r="H152" s="13">
        <f>SUM(H153:H153)</f>
        <v>1008</v>
      </c>
      <c r="I152" s="49"/>
      <c r="J152" s="13"/>
      <c r="K152" s="13"/>
    </row>
    <row r="153" spans="1:11" ht="16.5" hidden="1">
      <c r="A153" s="66"/>
      <c r="B153" s="68"/>
      <c r="C153" s="10"/>
      <c r="D153" s="248" t="s">
        <v>658</v>
      </c>
      <c r="E153" s="13"/>
      <c r="F153" s="13"/>
      <c r="G153" s="13">
        <v>1008</v>
      </c>
      <c r="H153" s="13">
        <v>1008</v>
      </c>
      <c r="I153" s="49"/>
      <c r="J153" s="13"/>
      <c r="K153" s="13"/>
    </row>
    <row r="154" spans="1:11" ht="16.5" hidden="1">
      <c r="A154" s="66"/>
      <c r="B154" s="68"/>
      <c r="C154" s="10"/>
      <c r="D154" s="247" t="s">
        <v>670</v>
      </c>
      <c r="E154" s="13">
        <f>SUM(E155:E155)</f>
        <v>0</v>
      </c>
      <c r="F154" s="13">
        <f>SUM(F155:F155)</f>
        <v>0</v>
      </c>
      <c r="G154" s="13">
        <f>SUM(G155:G155)</f>
        <v>4199</v>
      </c>
      <c r="H154" s="13">
        <f>SUM(H155:H155)</f>
        <v>4160</v>
      </c>
      <c r="I154" s="49"/>
      <c r="J154" s="13"/>
      <c r="K154" s="13"/>
    </row>
    <row r="155" spans="1:11" ht="16.5" hidden="1">
      <c r="A155" s="66"/>
      <c r="B155" s="68"/>
      <c r="C155" s="10"/>
      <c r="D155" s="248" t="s">
        <v>658</v>
      </c>
      <c r="E155" s="13"/>
      <c r="F155" s="13"/>
      <c r="G155" s="13">
        <v>4199</v>
      </c>
      <c r="H155" s="13">
        <v>4160</v>
      </c>
      <c r="I155" s="49"/>
      <c r="J155" s="13"/>
      <c r="K155" s="13"/>
    </row>
    <row r="156" spans="1:11" ht="16.5" hidden="1">
      <c r="A156" s="66"/>
      <c r="B156" s="68"/>
      <c r="C156" s="15" t="s">
        <v>37</v>
      </c>
      <c r="D156" s="12" t="s">
        <v>231</v>
      </c>
      <c r="E156" s="13">
        <f>SUM(E157)</f>
        <v>0</v>
      </c>
      <c r="F156" s="13">
        <f>SUM(F157)</f>
        <v>0</v>
      </c>
      <c r="G156" s="13">
        <f>SUM(G157)</f>
        <v>0</v>
      </c>
      <c r="H156" s="13">
        <f>SUM(H157)</f>
        <v>0</v>
      </c>
      <c r="I156" s="49"/>
      <c r="J156" s="13"/>
      <c r="K156" s="13"/>
    </row>
    <row r="157" spans="1:11" ht="16.5" hidden="1">
      <c r="A157" s="66"/>
      <c r="B157" s="68"/>
      <c r="C157" s="10"/>
      <c r="D157" s="248" t="s">
        <v>662</v>
      </c>
      <c r="E157" s="13"/>
      <c r="F157" s="13"/>
      <c r="G157" s="13"/>
      <c r="H157" s="13"/>
      <c r="I157" s="49"/>
      <c r="J157" s="13"/>
      <c r="K157" s="13"/>
    </row>
    <row r="158" spans="1:11" ht="16.5" customHeight="1" hidden="1">
      <c r="A158" s="66"/>
      <c r="B158" s="68"/>
      <c r="C158" s="10"/>
      <c r="D158" s="248"/>
      <c r="E158" s="13"/>
      <c r="F158" s="13"/>
      <c r="G158" s="13"/>
      <c r="H158" s="13"/>
      <c r="I158" s="49"/>
      <c r="J158" s="13"/>
      <c r="K158" s="13"/>
    </row>
    <row r="159" spans="1:11" ht="16.5" customHeight="1" hidden="1">
      <c r="A159" s="66"/>
      <c r="B159" s="68"/>
      <c r="C159" s="10"/>
      <c r="D159" s="12"/>
      <c r="E159" s="13"/>
      <c r="F159" s="13"/>
      <c r="G159" s="13"/>
      <c r="H159" s="13"/>
      <c r="I159" s="49"/>
      <c r="J159" s="13"/>
      <c r="K159" s="13"/>
    </row>
    <row r="160" spans="1:11" ht="16.5" hidden="1">
      <c r="A160" s="66"/>
      <c r="B160" s="68"/>
      <c r="C160" s="10"/>
      <c r="D160" s="12"/>
      <c r="E160" s="13"/>
      <c r="F160" s="13"/>
      <c r="G160" s="13"/>
      <c r="H160" s="13"/>
      <c r="I160" s="49"/>
      <c r="J160" s="13"/>
      <c r="K160" s="13"/>
    </row>
    <row r="161" spans="1:11" ht="16.5" hidden="1">
      <c r="A161" s="66"/>
      <c r="B161" s="68"/>
      <c r="C161" s="10"/>
      <c r="D161" s="69" t="s">
        <v>248</v>
      </c>
      <c r="E161" s="41">
        <f>SUM(E141+E148+E147+E156)</f>
        <v>0</v>
      </c>
      <c r="F161" s="41">
        <f>SUM(F141+F148+F147+F156)</f>
        <v>0</v>
      </c>
      <c r="G161" s="41">
        <f>SUM(G141+G148+G147+G156)</f>
        <v>10397</v>
      </c>
      <c r="H161" s="41">
        <f>SUM(H141+H148+H147+H156)</f>
        <v>10358</v>
      </c>
      <c r="I161" s="258"/>
      <c r="J161" s="41"/>
      <c r="K161" s="41"/>
    </row>
    <row r="162" spans="1:11" ht="16.5" hidden="1">
      <c r="A162" s="66"/>
      <c r="B162" s="65" t="s">
        <v>19</v>
      </c>
      <c r="C162" s="11"/>
      <c r="D162" s="253" t="s">
        <v>250</v>
      </c>
      <c r="E162" s="306"/>
      <c r="F162" s="306"/>
      <c r="G162" s="306"/>
      <c r="H162" s="306"/>
      <c r="I162" s="306"/>
      <c r="J162" s="306"/>
      <c r="K162" s="306"/>
    </row>
    <row r="163" spans="1:11" ht="16.5" hidden="1">
      <c r="A163" s="66"/>
      <c r="B163" s="68"/>
      <c r="C163" s="11" t="s">
        <v>20</v>
      </c>
      <c r="D163" s="12" t="s">
        <v>251</v>
      </c>
      <c r="E163" s="13">
        <f>SUM(E164:E165)</f>
        <v>0</v>
      </c>
      <c r="F163" s="13">
        <f>SUM(F164:F165)</f>
        <v>0</v>
      </c>
      <c r="G163" s="13">
        <f>SUM(G164:G165)</f>
        <v>5743</v>
      </c>
      <c r="H163" s="13">
        <f>SUM(H164:H165)</f>
        <v>5743</v>
      </c>
      <c r="I163" s="49"/>
      <c r="J163" s="13"/>
      <c r="K163" s="13"/>
    </row>
    <row r="164" spans="1:11" ht="16.5" hidden="1">
      <c r="A164" s="66"/>
      <c r="B164" s="68"/>
      <c r="C164" s="11"/>
      <c r="D164" s="248" t="s">
        <v>233</v>
      </c>
      <c r="E164" s="13"/>
      <c r="F164" s="13"/>
      <c r="G164" s="13">
        <v>5458</v>
      </c>
      <c r="H164" s="13">
        <v>5458</v>
      </c>
      <c r="I164" s="49"/>
      <c r="J164" s="13"/>
      <c r="K164" s="13"/>
    </row>
    <row r="165" spans="1:11" ht="16.5" hidden="1">
      <c r="A165" s="66"/>
      <c r="B165" s="68"/>
      <c r="C165" s="11"/>
      <c r="D165" s="248" t="s">
        <v>658</v>
      </c>
      <c r="E165" s="13"/>
      <c r="F165" s="13"/>
      <c r="G165" s="13">
        <v>285</v>
      </c>
      <c r="H165" s="13">
        <v>285</v>
      </c>
      <c r="I165" s="49"/>
      <c r="J165" s="13"/>
      <c r="K165" s="13"/>
    </row>
    <row r="166" spans="1:11" ht="16.5" hidden="1">
      <c r="A166" s="66"/>
      <c r="B166" s="68"/>
      <c r="C166" s="11" t="s">
        <v>44</v>
      </c>
      <c r="D166" s="12" t="s">
        <v>35</v>
      </c>
      <c r="E166" s="13">
        <f>SUM(E167:E168)</f>
        <v>0</v>
      </c>
      <c r="F166" s="13">
        <f>SUM(F167:F168)</f>
        <v>0</v>
      </c>
      <c r="G166" s="13">
        <f>SUM(G167:G168)</f>
        <v>1948</v>
      </c>
      <c r="H166" s="13">
        <f>SUM(H167:H168)</f>
        <v>1948</v>
      </c>
      <c r="I166" s="49"/>
      <c r="J166" s="13"/>
      <c r="K166" s="13"/>
    </row>
    <row r="167" spans="1:11" ht="16.5" hidden="1">
      <c r="A167" s="66"/>
      <c r="B167" s="68"/>
      <c r="C167" s="11"/>
      <c r="D167" s="248" t="s">
        <v>233</v>
      </c>
      <c r="E167" s="13"/>
      <c r="F167" s="13"/>
      <c r="G167" s="13">
        <v>1850</v>
      </c>
      <c r="H167" s="13">
        <v>1850</v>
      </c>
      <c r="I167" s="49"/>
      <c r="J167" s="13"/>
      <c r="K167" s="13"/>
    </row>
    <row r="168" spans="1:11" ht="16.5" hidden="1">
      <c r="A168" s="66"/>
      <c r="B168" s="68"/>
      <c r="C168" s="11"/>
      <c r="D168" s="248" t="s">
        <v>658</v>
      </c>
      <c r="E168" s="13"/>
      <c r="F168" s="13"/>
      <c r="G168" s="13">
        <v>98</v>
      </c>
      <c r="H168" s="13">
        <v>98</v>
      </c>
      <c r="I168" s="49"/>
      <c r="J168" s="13"/>
      <c r="K168" s="13"/>
    </row>
    <row r="169" spans="1:11" ht="16.5" hidden="1">
      <c r="A169" s="66"/>
      <c r="B169" s="68"/>
      <c r="C169" s="11" t="s">
        <v>45</v>
      </c>
      <c r="D169" s="12" t="s">
        <v>253</v>
      </c>
      <c r="E169" s="13">
        <f>SUM(E170:E170)</f>
        <v>0</v>
      </c>
      <c r="F169" s="13">
        <f>SUM(F170:F170)</f>
        <v>0</v>
      </c>
      <c r="G169" s="13">
        <f>SUM(G170:G170)</f>
        <v>396</v>
      </c>
      <c r="H169" s="13">
        <f>SUM(H170:H170)</f>
        <v>357</v>
      </c>
      <c r="I169" s="49"/>
      <c r="J169" s="13"/>
      <c r="K169" s="13"/>
    </row>
    <row r="170" spans="1:11" ht="16.5" hidden="1">
      <c r="A170" s="66"/>
      <c r="B170" s="68"/>
      <c r="C170" s="11"/>
      <c r="D170" s="248" t="s">
        <v>658</v>
      </c>
      <c r="E170" s="13"/>
      <c r="F170" s="13"/>
      <c r="G170" s="13">
        <v>396</v>
      </c>
      <c r="H170" s="13">
        <v>357</v>
      </c>
      <c r="I170" s="49"/>
      <c r="J170" s="13"/>
      <c r="K170" s="13"/>
    </row>
    <row r="171" spans="1:11" ht="16.5" hidden="1">
      <c r="A171" s="66"/>
      <c r="B171" s="68"/>
      <c r="C171" s="11"/>
      <c r="D171" s="12" t="s">
        <v>232</v>
      </c>
      <c r="E171" s="13"/>
      <c r="F171" s="13"/>
      <c r="G171" s="13">
        <f>SUM(G172)</f>
        <v>2310</v>
      </c>
      <c r="H171" s="13">
        <f>SUM(H172)</f>
        <v>2310</v>
      </c>
      <c r="I171" s="49"/>
      <c r="J171" s="13"/>
      <c r="K171" s="13"/>
    </row>
    <row r="172" spans="1:11" ht="16.5" hidden="1">
      <c r="A172" s="66"/>
      <c r="B172" s="68"/>
      <c r="C172" s="11"/>
      <c r="D172" s="248" t="s">
        <v>662</v>
      </c>
      <c r="E172" s="13"/>
      <c r="F172" s="13"/>
      <c r="G172" s="13">
        <v>2310</v>
      </c>
      <c r="H172" s="13">
        <v>2310</v>
      </c>
      <c r="I172" s="49"/>
      <c r="J172" s="13"/>
      <c r="K172" s="13"/>
    </row>
    <row r="173" spans="1:11" ht="16.5" hidden="1">
      <c r="A173" s="66"/>
      <c r="B173" s="68"/>
      <c r="C173" s="11" t="s">
        <v>49</v>
      </c>
      <c r="D173" s="12" t="s">
        <v>256</v>
      </c>
      <c r="E173" s="13"/>
      <c r="F173" s="13"/>
      <c r="G173" s="13"/>
      <c r="H173" s="13"/>
      <c r="I173" s="49"/>
      <c r="J173" s="13"/>
      <c r="K173" s="13"/>
    </row>
    <row r="174" spans="1:11" ht="16.5" hidden="1">
      <c r="A174" s="66"/>
      <c r="B174" s="68"/>
      <c r="C174" s="11" t="s">
        <v>50</v>
      </c>
      <c r="D174" s="12" t="s">
        <v>257</v>
      </c>
      <c r="E174" s="13"/>
      <c r="F174" s="13"/>
      <c r="G174" s="13"/>
      <c r="H174" s="13"/>
      <c r="I174" s="49"/>
      <c r="J174" s="13"/>
      <c r="K174" s="13"/>
    </row>
    <row r="175" spans="1:11" ht="16.5" hidden="1">
      <c r="A175" s="66"/>
      <c r="B175" s="68"/>
      <c r="C175" s="11" t="s">
        <v>51</v>
      </c>
      <c r="D175" s="12" t="s">
        <v>260</v>
      </c>
      <c r="E175" s="13"/>
      <c r="F175" s="13"/>
      <c r="G175" s="13"/>
      <c r="H175" s="13"/>
      <c r="I175" s="49"/>
      <c r="J175" s="13"/>
      <c r="K175" s="13"/>
    </row>
    <row r="176" spans="1:11" ht="16.5" hidden="1">
      <c r="A176" s="66"/>
      <c r="B176" s="68"/>
      <c r="C176" s="11"/>
      <c r="D176" s="72" t="s">
        <v>261</v>
      </c>
      <c r="E176" s="41">
        <f>SUM(E163,E166,E169,E173,E174,E175,)</f>
        <v>0</v>
      </c>
      <c r="F176" s="41">
        <f>SUM(F163,F166,F169,F173,F174,F175,)</f>
        <v>0</v>
      </c>
      <c r="G176" s="41">
        <f>SUM(G163+G166+G169+G171)</f>
        <v>10397</v>
      </c>
      <c r="H176" s="41">
        <f>SUM(H163+H166+H169+H171)</f>
        <v>10358</v>
      </c>
      <c r="I176" s="258"/>
      <c r="J176" s="41"/>
      <c r="K176" s="41"/>
    </row>
    <row r="177" spans="1:11" ht="16.5" hidden="1">
      <c r="A177" s="66"/>
      <c r="B177" s="65" t="s">
        <v>22</v>
      </c>
      <c r="C177" s="16"/>
      <c r="D177" s="75" t="s">
        <v>263</v>
      </c>
      <c r="E177" s="76"/>
      <c r="F177" s="76"/>
      <c r="G177" s="76"/>
      <c r="H177" s="76"/>
      <c r="I177" s="76"/>
      <c r="J177" s="76"/>
      <c r="K177" s="76"/>
    </row>
    <row r="178" spans="1:11" ht="16.5">
      <c r="A178" s="33"/>
      <c r="B178" s="249"/>
      <c r="C178" s="250"/>
      <c r="D178" s="1137" t="s">
        <v>676</v>
      </c>
      <c r="E178" s="1138"/>
      <c r="F178" s="1138"/>
      <c r="G178" s="1138"/>
      <c r="H178" s="1138"/>
      <c r="I178" s="1138"/>
      <c r="J178" s="1138"/>
      <c r="K178" s="1139"/>
    </row>
    <row r="179" spans="1:11" ht="16.5">
      <c r="A179" s="66"/>
      <c r="B179" s="65" t="s">
        <v>14</v>
      </c>
      <c r="C179" s="10"/>
      <c r="D179" s="253" t="s">
        <v>240</v>
      </c>
      <c r="E179" s="306"/>
      <c r="F179" s="306"/>
      <c r="G179" s="306"/>
      <c r="H179" s="306"/>
      <c r="I179" s="306"/>
      <c r="J179" s="306"/>
      <c r="K179" s="67"/>
    </row>
    <row r="180" spans="1:11" ht="16.5">
      <c r="A180" s="66"/>
      <c r="B180" s="68"/>
      <c r="C180" s="15" t="s">
        <v>16</v>
      </c>
      <c r="D180" s="12" t="s">
        <v>623</v>
      </c>
      <c r="E180" s="13">
        <f>SUM(E181:E185)</f>
        <v>0</v>
      </c>
      <c r="F180" s="13">
        <f>SUM(F181:F185)</f>
        <v>0</v>
      </c>
      <c r="G180" s="13">
        <f>SUM(G181:G185)</f>
        <v>0</v>
      </c>
      <c r="H180" s="13">
        <f>SUM(H181:H185)</f>
        <v>0</v>
      </c>
      <c r="I180" s="13">
        <f>SUM(I181:I185)</f>
        <v>0</v>
      </c>
      <c r="J180" s="13"/>
      <c r="K180" s="13"/>
    </row>
    <row r="181" spans="1:11" ht="16.5" customHeight="1" hidden="1">
      <c r="A181" s="66"/>
      <c r="B181" s="68"/>
      <c r="C181" s="10" t="s">
        <v>54</v>
      </c>
      <c r="D181" s="12" t="s">
        <v>333</v>
      </c>
      <c r="E181" s="13"/>
      <c r="F181" s="13"/>
      <c r="G181" s="13"/>
      <c r="H181" s="13"/>
      <c r="I181" s="13"/>
      <c r="J181" s="13"/>
      <c r="K181" s="13"/>
    </row>
    <row r="182" spans="1:11" ht="16.5" customHeight="1" hidden="1">
      <c r="A182" s="66"/>
      <c r="B182" s="68"/>
      <c r="C182" s="10" t="s">
        <v>627</v>
      </c>
      <c r="D182" s="12" t="s">
        <v>334</v>
      </c>
      <c r="E182" s="13"/>
      <c r="F182" s="13"/>
      <c r="G182" s="13"/>
      <c r="H182" s="13"/>
      <c r="I182" s="13"/>
      <c r="J182" s="13"/>
      <c r="K182" s="13"/>
    </row>
    <row r="183" spans="1:11" ht="16.5" customHeight="1" hidden="1">
      <c r="A183" s="66"/>
      <c r="B183" s="68"/>
      <c r="C183" s="10" t="s">
        <v>628</v>
      </c>
      <c r="D183" s="12" t="s">
        <v>301</v>
      </c>
      <c r="E183" s="13"/>
      <c r="F183" s="13"/>
      <c r="G183" s="13"/>
      <c r="H183" s="13"/>
      <c r="I183" s="13"/>
      <c r="J183" s="13"/>
      <c r="K183" s="13"/>
    </row>
    <row r="184" spans="1:11" ht="16.5" customHeight="1" hidden="1">
      <c r="A184" s="66"/>
      <c r="B184" s="68"/>
      <c r="C184" s="10" t="s">
        <v>629</v>
      </c>
      <c r="D184" s="12" t="s">
        <v>335</v>
      </c>
      <c r="E184" s="13"/>
      <c r="F184" s="13"/>
      <c r="G184" s="13"/>
      <c r="H184" s="13"/>
      <c r="I184" s="13"/>
      <c r="J184" s="13"/>
      <c r="K184" s="13"/>
    </row>
    <row r="185" spans="1:11" ht="16.5" customHeight="1" hidden="1">
      <c r="A185" s="66"/>
      <c r="B185" s="68"/>
      <c r="C185" s="10" t="s">
        <v>630</v>
      </c>
      <c r="D185" s="12" t="s">
        <v>184</v>
      </c>
      <c r="E185" s="13"/>
      <c r="F185" s="13"/>
      <c r="G185" s="13"/>
      <c r="H185" s="13"/>
      <c r="I185" s="13"/>
      <c r="J185" s="13"/>
      <c r="K185" s="13"/>
    </row>
    <row r="186" spans="1:11" ht="16.5">
      <c r="A186" s="66"/>
      <c r="B186" s="68"/>
      <c r="C186" s="15" t="s">
        <v>17</v>
      </c>
      <c r="D186" s="12" t="s">
        <v>1209</v>
      </c>
      <c r="E186" s="13">
        <v>0</v>
      </c>
      <c r="F186" s="13">
        <v>0</v>
      </c>
      <c r="G186" s="13">
        <v>0</v>
      </c>
      <c r="H186" s="13">
        <v>1</v>
      </c>
      <c r="I186" s="13"/>
      <c r="J186" s="13"/>
      <c r="K186" s="13"/>
    </row>
    <row r="187" spans="1:11" ht="16.5">
      <c r="A187" s="66"/>
      <c r="B187" s="68"/>
      <c r="C187" s="15" t="s">
        <v>36</v>
      </c>
      <c r="D187" s="12" t="s">
        <v>243</v>
      </c>
      <c r="E187" s="13">
        <f aca="true" t="shared" si="24" ref="E187:K187">SUM(E188)</f>
        <v>0</v>
      </c>
      <c r="F187" s="13">
        <f t="shared" si="24"/>
        <v>0</v>
      </c>
      <c r="G187" s="13">
        <f t="shared" si="24"/>
        <v>3780</v>
      </c>
      <c r="H187" s="13">
        <f t="shared" si="24"/>
        <v>6319</v>
      </c>
      <c r="I187" s="13">
        <f t="shared" si="24"/>
        <v>0</v>
      </c>
      <c r="J187" s="13">
        <f t="shared" si="24"/>
        <v>0</v>
      </c>
      <c r="K187" s="13">
        <f t="shared" si="24"/>
        <v>2945</v>
      </c>
    </row>
    <row r="188" spans="1:11" ht="16.5">
      <c r="A188" s="174"/>
      <c r="B188" s="175"/>
      <c r="C188" s="51" t="s">
        <v>124</v>
      </c>
      <c r="D188" s="47" t="s">
        <v>244</v>
      </c>
      <c r="E188" s="48">
        <f aca="true" t="shared" si="25" ref="E188:J188">SUM(E189+E192+E195)</f>
        <v>0</v>
      </c>
      <c r="F188" s="48">
        <f t="shared" si="25"/>
        <v>0</v>
      </c>
      <c r="G188" s="48">
        <f t="shared" si="25"/>
        <v>3780</v>
      </c>
      <c r="H188" s="48">
        <f t="shared" si="25"/>
        <v>6319</v>
      </c>
      <c r="I188" s="48">
        <f t="shared" si="25"/>
        <v>0</v>
      </c>
      <c r="J188" s="48">
        <f t="shared" si="25"/>
        <v>0</v>
      </c>
      <c r="K188" s="48">
        <f>SUM(K189+K192+K195)</f>
        <v>2945</v>
      </c>
    </row>
    <row r="189" spans="1:11" ht="16.5">
      <c r="A189" s="66"/>
      <c r="B189" s="68"/>
      <c r="C189" s="10" t="s">
        <v>72</v>
      </c>
      <c r="D189" s="12" t="s">
        <v>169</v>
      </c>
      <c r="E189" s="13">
        <f aca="true" t="shared" si="26" ref="E189:J189">SUM(E190:E191)</f>
        <v>0</v>
      </c>
      <c r="F189" s="13">
        <f t="shared" si="26"/>
        <v>0</v>
      </c>
      <c r="G189" s="13">
        <f t="shared" si="26"/>
        <v>450</v>
      </c>
      <c r="H189" s="13">
        <f t="shared" si="26"/>
        <v>450</v>
      </c>
      <c r="I189" s="13">
        <f t="shared" si="26"/>
        <v>0</v>
      </c>
      <c r="J189" s="13">
        <f t="shared" si="26"/>
        <v>0</v>
      </c>
      <c r="K189" s="13">
        <f>SUM(K190:K191)</f>
        <v>1540</v>
      </c>
    </row>
    <row r="190" spans="1:11" ht="16.5">
      <c r="A190" s="66"/>
      <c r="B190" s="68"/>
      <c r="C190" s="10" t="s">
        <v>73</v>
      </c>
      <c r="D190" s="248" t="s">
        <v>658</v>
      </c>
      <c r="E190" s="13"/>
      <c r="F190" s="13"/>
      <c r="G190" s="13">
        <v>450</v>
      </c>
      <c r="H190" s="13">
        <v>450</v>
      </c>
      <c r="I190" s="49"/>
      <c r="J190" s="13"/>
      <c r="K190" s="13">
        <v>1540</v>
      </c>
    </row>
    <row r="191" spans="1:11" ht="16.5">
      <c r="A191" s="66"/>
      <c r="B191" s="68"/>
      <c r="C191" s="10" t="s">
        <v>657</v>
      </c>
      <c r="D191" s="248" t="s">
        <v>662</v>
      </c>
      <c r="E191" s="13"/>
      <c r="F191" s="13"/>
      <c r="G191" s="13"/>
      <c r="H191" s="13"/>
      <c r="I191" s="49"/>
      <c r="J191" s="13">
        <v>0</v>
      </c>
      <c r="K191" s="13"/>
    </row>
    <row r="192" spans="1:11" ht="16.5">
      <c r="A192" s="66"/>
      <c r="B192" s="68"/>
      <c r="C192" s="10" t="s">
        <v>1464</v>
      </c>
      <c r="D192" s="247" t="s">
        <v>665</v>
      </c>
      <c r="E192" s="13">
        <f>SUM(E193:E194)</f>
        <v>0</v>
      </c>
      <c r="F192" s="13">
        <f>SUM(F193:F194)</f>
        <v>0</v>
      </c>
      <c r="G192" s="13">
        <f>SUM(G193:G194)</f>
        <v>660</v>
      </c>
      <c r="H192" s="13">
        <f>SUM(H193:H194)</f>
        <v>660</v>
      </c>
      <c r="I192" s="49"/>
      <c r="J192" s="13">
        <v>0</v>
      </c>
      <c r="K192" s="13">
        <v>0</v>
      </c>
    </row>
    <row r="193" spans="1:11" ht="16.5">
      <c r="A193" s="66"/>
      <c r="B193" s="68"/>
      <c r="C193" s="10" t="s">
        <v>666</v>
      </c>
      <c r="D193" s="248" t="s">
        <v>658</v>
      </c>
      <c r="E193" s="13"/>
      <c r="F193" s="13"/>
      <c r="G193" s="13">
        <v>660</v>
      </c>
      <c r="H193" s="13">
        <v>660</v>
      </c>
      <c r="I193" s="49"/>
      <c r="J193" s="13">
        <v>0</v>
      </c>
      <c r="K193" s="13">
        <v>0</v>
      </c>
    </row>
    <row r="194" spans="1:11" ht="16.5">
      <c r="A194" s="66"/>
      <c r="B194" s="68"/>
      <c r="C194" s="10" t="s">
        <v>667</v>
      </c>
      <c r="D194" s="248" t="s">
        <v>662</v>
      </c>
      <c r="E194" s="13"/>
      <c r="F194" s="13"/>
      <c r="G194" s="13"/>
      <c r="H194" s="13"/>
      <c r="I194" s="49"/>
      <c r="J194" s="13">
        <v>0</v>
      </c>
      <c r="K194" s="13">
        <v>0</v>
      </c>
    </row>
    <row r="195" spans="1:11" ht="16.5">
      <c r="A195" s="66"/>
      <c r="B195" s="68"/>
      <c r="C195" s="10" t="s">
        <v>496</v>
      </c>
      <c r="D195" s="247" t="s">
        <v>670</v>
      </c>
      <c r="E195" s="13">
        <f aca="true" t="shared" si="27" ref="E195:J195">SUM(E196:E197)</f>
        <v>0</v>
      </c>
      <c r="F195" s="13">
        <f t="shared" si="27"/>
        <v>0</v>
      </c>
      <c r="G195" s="13">
        <f t="shared" si="27"/>
        <v>2670</v>
      </c>
      <c r="H195" s="13">
        <f t="shared" si="27"/>
        <v>5209</v>
      </c>
      <c r="I195" s="13">
        <f t="shared" si="27"/>
        <v>0</v>
      </c>
      <c r="J195" s="13">
        <f t="shared" si="27"/>
        <v>0</v>
      </c>
      <c r="K195" s="13">
        <f>SUM(K196:K197)</f>
        <v>1405</v>
      </c>
    </row>
    <row r="196" spans="1:13" ht="16.5">
      <c r="A196" s="66"/>
      <c r="B196" s="68"/>
      <c r="C196" s="10" t="s">
        <v>671</v>
      </c>
      <c r="D196" s="248" t="s">
        <v>658</v>
      </c>
      <c r="E196" s="13"/>
      <c r="F196" s="13"/>
      <c r="G196" s="13">
        <v>2670</v>
      </c>
      <c r="H196" s="13">
        <v>5209</v>
      </c>
      <c r="I196" s="49"/>
      <c r="J196" s="13"/>
      <c r="K196" s="13">
        <v>1405</v>
      </c>
      <c r="M196" s="25">
        <f>SUM(K216-K202)</f>
        <v>0</v>
      </c>
    </row>
    <row r="197" spans="1:11" ht="16.5">
      <c r="A197" s="66"/>
      <c r="B197" s="68"/>
      <c r="C197" s="10" t="s">
        <v>672</v>
      </c>
      <c r="D197" s="248" t="s">
        <v>662</v>
      </c>
      <c r="E197" s="13"/>
      <c r="F197" s="13"/>
      <c r="G197" s="13"/>
      <c r="H197" s="13"/>
      <c r="I197" s="49"/>
      <c r="J197" s="13"/>
      <c r="K197" s="13"/>
    </row>
    <row r="198" spans="1:11" ht="16.5">
      <c r="A198" s="66"/>
      <c r="B198" s="68"/>
      <c r="C198" s="15" t="s">
        <v>37</v>
      </c>
      <c r="D198" s="12" t="s">
        <v>177</v>
      </c>
      <c r="E198" s="13">
        <f aca="true" t="shared" si="28" ref="E198:K198">SUM(E199)</f>
        <v>0</v>
      </c>
      <c r="F198" s="13">
        <f t="shared" si="28"/>
        <v>0</v>
      </c>
      <c r="G198" s="13">
        <f t="shared" si="28"/>
        <v>0</v>
      </c>
      <c r="H198" s="13">
        <f t="shared" si="28"/>
        <v>0</v>
      </c>
      <c r="I198" s="13">
        <f t="shared" si="28"/>
        <v>0</v>
      </c>
      <c r="J198" s="13">
        <f t="shared" si="28"/>
        <v>0</v>
      </c>
      <c r="K198" s="13">
        <f t="shared" si="28"/>
        <v>1374</v>
      </c>
    </row>
    <row r="199" spans="1:11" ht="16.5">
      <c r="A199" s="66"/>
      <c r="B199" s="68"/>
      <c r="C199" s="10" t="s">
        <v>353</v>
      </c>
      <c r="D199" s="248" t="s">
        <v>914</v>
      </c>
      <c r="E199" s="13"/>
      <c r="F199" s="13"/>
      <c r="G199" s="13"/>
      <c r="H199" s="13"/>
      <c r="I199" s="49"/>
      <c r="J199" s="13"/>
      <c r="K199" s="13">
        <v>1374</v>
      </c>
    </row>
    <row r="200" spans="1:11" ht="16.5" customHeight="1" hidden="1">
      <c r="A200" s="66"/>
      <c r="B200" s="68"/>
      <c r="C200" s="10"/>
      <c r="D200" s="248"/>
      <c r="E200" s="13"/>
      <c r="F200" s="13"/>
      <c r="G200" s="13"/>
      <c r="H200" s="13"/>
      <c r="I200" s="49"/>
      <c r="J200" s="13"/>
      <c r="K200" s="13"/>
    </row>
    <row r="201" spans="1:11" ht="16.5" customHeight="1" hidden="1">
      <c r="A201" s="66"/>
      <c r="B201" s="68"/>
      <c r="C201" s="10"/>
      <c r="D201" s="12"/>
      <c r="E201" s="13"/>
      <c r="F201" s="13"/>
      <c r="G201" s="13"/>
      <c r="H201" s="13"/>
      <c r="I201" s="49"/>
      <c r="J201" s="13"/>
      <c r="K201" s="13"/>
    </row>
    <row r="202" spans="1:11" ht="16.5">
      <c r="A202" s="66"/>
      <c r="B202" s="68"/>
      <c r="C202" s="10"/>
      <c r="D202" s="69" t="s">
        <v>248</v>
      </c>
      <c r="E202" s="41">
        <f>SUM(E180+E187+E186+E198)</f>
        <v>0</v>
      </c>
      <c r="F202" s="41">
        <f>SUM(F180+F187+F186+F198)</f>
        <v>0</v>
      </c>
      <c r="G202" s="41">
        <f>SUM(G180+G187+G186+G198)</f>
        <v>3780</v>
      </c>
      <c r="H202" s="41">
        <f>SUM(H180+H187+H186+H198)</f>
        <v>6320</v>
      </c>
      <c r="I202" s="41">
        <f>SUM(I180+I187+I186+I198)</f>
        <v>0</v>
      </c>
      <c r="J202" s="41">
        <f>SUM(J180+J186+J187+J198)</f>
        <v>0</v>
      </c>
      <c r="K202" s="41">
        <f>SUM(K180+K186+K187+K198)</f>
        <v>4319</v>
      </c>
    </row>
    <row r="203" spans="1:11" ht="16.5">
      <c r="A203" s="66"/>
      <c r="B203" s="65" t="s">
        <v>19</v>
      </c>
      <c r="C203" s="11"/>
      <c r="D203" s="1128" t="s">
        <v>250</v>
      </c>
      <c r="E203" s="1129"/>
      <c r="F203" s="1129"/>
      <c r="G203" s="1129"/>
      <c r="H203" s="1129"/>
      <c r="I203" s="1129"/>
      <c r="J203" s="1129"/>
      <c r="K203" s="1136"/>
    </row>
    <row r="204" spans="1:11" ht="16.5">
      <c r="A204" s="66"/>
      <c r="B204" s="68"/>
      <c r="C204" s="11" t="s">
        <v>20</v>
      </c>
      <c r="D204" s="12" t="s">
        <v>251</v>
      </c>
      <c r="E204" s="13">
        <f aca="true" t="shared" si="29" ref="E204:K204">SUM(E205:E205)</f>
        <v>0</v>
      </c>
      <c r="F204" s="13">
        <f t="shared" si="29"/>
        <v>0</v>
      </c>
      <c r="G204" s="13">
        <f t="shared" si="29"/>
        <v>920</v>
      </c>
      <c r="H204" s="13">
        <f t="shared" si="29"/>
        <v>920</v>
      </c>
      <c r="I204" s="13">
        <f t="shared" si="29"/>
        <v>0</v>
      </c>
      <c r="J204" s="13">
        <f t="shared" si="29"/>
        <v>0</v>
      </c>
      <c r="K204" s="13">
        <f t="shared" si="29"/>
        <v>720</v>
      </c>
    </row>
    <row r="205" spans="1:11" ht="16.5">
      <c r="A205" s="66"/>
      <c r="B205" s="68"/>
      <c r="C205" s="11" t="s">
        <v>144</v>
      </c>
      <c r="D205" s="248" t="s">
        <v>233</v>
      </c>
      <c r="E205" s="13"/>
      <c r="F205" s="13"/>
      <c r="G205" s="13">
        <v>920</v>
      </c>
      <c r="H205" s="13">
        <v>920</v>
      </c>
      <c r="I205" s="49"/>
      <c r="J205" s="13"/>
      <c r="K205" s="13">
        <v>720</v>
      </c>
    </row>
    <row r="206" spans="1:11" ht="16.5">
      <c r="A206" s="66"/>
      <c r="B206" s="68"/>
      <c r="C206" s="11" t="s">
        <v>44</v>
      </c>
      <c r="D206" s="12" t="s">
        <v>35</v>
      </c>
      <c r="E206" s="13">
        <f aca="true" t="shared" si="30" ref="E206:J206">SUM(E207:E207)</f>
        <v>0</v>
      </c>
      <c r="F206" s="13">
        <f t="shared" si="30"/>
        <v>0</v>
      </c>
      <c r="G206" s="13">
        <f t="shared" si="30"/>
        <v>325</v>
      </c>
      <c r="H206" s="13">
        <f t="shared" si="30"/>
        <v>325</v>
      </c>
      <c r="I206" s="13">
        <f t="shared" si="30"/>
        <v>0</v>
      </c>
      <c r="J206" s="13">
        <f t="shared" si="30"/>
        <v>0</v>
      </c>
      <c r="K206" s="13">
        <f>SUM(K207:K207)</f>
        <v>197</v>
      </c>
    </row>
    <row r="207" spans="1:11" ht="16.5">
      <c r="A207" s="66"/>
      <c r="B207" s="68"/>
      <c r="C207" s="11" t="s">
        <v>188</v>
      </c>
      <c r="D207" s="248" t="s">
        <v>233</v>
      </c>
      <c r="E207" s="13"/>
      <c r="F207" s="13"/>
      <c r="G207" s="13">
        <v>325</v>
      </c>
      <c r="H207" s="13">
        <v>325</v>
      </c>
      <c r="I207" s="49"/>
      <c r="J207" s="13"/>
      <c r="K207" s="13">
        <v>197</v>
      </c>
    </row>
    <row r="208" spans="1:11" ht="16.5">
      <c r="A208" s="66"/>
      <c r="B208" s="68"/>
      <c r="C208" s="11" t="s">
        <v>45</v>
      </c>
      <c r="D208" s="12" t="s">
        <v>253</v>
      </c>
      <c r="E208" s="13">
        <f>SUM(E209:E209)</f>
        <v>0</v>
      </c>
      <c r="F208" s="13">
        <f>SUM(F209:F209)</f>
        <v>0</v>
      </c>
      <c r="G208" s="13">
        <f>SUM(G209:G209)</f>
        <v>2400</v>
      </c>
      <c r="H208" s="13">
        <f>SUM(H209:H209)</f>
        <v>4939</v>
      </c>
      <c r="I208" s="13">
        <f>SUM(I209:I209)</f>
        <v>0</v>
      </c>
      <c r="J208" s="13">
        <f>SUM(J209:J210)</f>
        <v>0</v>
      </c>
      <c r="K208" s="13">
        <f>SUM(K209:K210)</f>
        <v>2028</v>
      </c>
    </row>
    <row r="209" spans="1:11" ht="16.5">
      <c r="A209" s="66"/>
      <c r="B209" s="68"/>
      <c r="C209" s="11" t="s">
        <v>254</v>
      </c>
      <c r="D209" s="248" t="s">
        <v>658</v>
      </c>
      <c r="E209" s="13"/>
      <c r="F209" s="13"/>
      <c r="G209" s="13">
        <v>2400</v>
      </c>
      <c r="H209" s="13">
        <v>4939</v>
      </c>
      <c r="I209" s="49"/>
      <c r="J209" s="13"/>
      <c r="K209" s="13">
        <v>31</v>
      </c>
    </row>
    <row r="210" spans="1:11" ht="16.5">
      <c r="A210" s="66"/>
      <c r="B210" s="68"/>
      <c r="C210" s="11" t="s">
        <v>690</v>
      </c>
      <c r="D210" s="248" t="s">
        <v>233</v>
      </c>
      <c r="E210" s="13"/>
      <c r="F210" s="13"/>
      <c r="G210" s="13"/>
      <c r="H210" s="13"/>
      <c r="I210" s="49"/>
      <c r="J210" s="13"/>
      <c r="K210" s="13">
        <v>1997</v>
      </c>
    </row>
    <row r="211" spans="1:11" ht="16.5">
      <c r="A211" s="66"/>
      <c r="B211" s="68"/>
      <c r="C211" s="11" t="s">
        <v>49</v>
      </c>
      <c r="D211" s="12" t="s">
        <v>232</v>
      </c>
      <c r="E211" s="13"/>
      <c r="F211" s="13"/>
      <c r="G211" s="13">
        <f>SUM(G212)</f>
        <v>135</v>
      </c>
      <c r="H211" s="13">
        <f>SUM(H212)</f>
        <v>135</v>
      </c>
      <c r="I211" s="13">
        <f>SUM(I212)</f>
        <v>0</v>
      </c>
      <c r="J211" s="13">
        <f>SUM(J212)</f>
        <v>0</v>
      </c>
      <c r="K211" s="13">
        <f>SUM(K212)</f>
        <v>1374</v>
      </c>
    </row>
    <row r="212" spans="1:11" ht="16.5">
      <c r="A212" s="66"/>
      <c r="B212" s="68"/>
      <c r="C212" s="11" t="s">
        <v>255</v>
      </c>
      <c r="D212" s="248" t="s">
        <v>662</v>
      </c>
      <c r="E212" s="13"/>
      <c r="F212" s="13"/>
      <c r="G212" s="13">
        <v>135</v>
      </c>
      <c r="H212" s="13">
        <v>135</v>
      </c>
      <c r="I212" s="49"/>
      <c r="J212" s="13">
        <v>0</v>
      </c>
      <c r="K212" s="13">
        <v>1374</v>
      </c>
    </row>
    <row r="213" spans="1:11" ht="16.5">
      <c r="A213" s="66"/>
      <c r="B213" s="68"/>
      <c r="C213" s="11" t="s">
        <v>50</v>
      </c>
      <c r="D213" s="12" t="s">
        <v>256</v>
      </c>
      <c r="E213" s="13"/>
      <c r="F213" s="13"/>
      <c r="G213" s="13"/>
      <c r="H213" s="13"/>
      <c r="I213" s="49"/>
      <c r="J213" s="13"/>
      <c r="K213" s="13"/>
    </row>
    <row r="214" spans="1:11" ht="16.5">
      <c r="A214" s="66"/>
      <c r="B214" s="68"/>
      <c r="C214" s="11" t="s">
        <v>51</v>
      </c>
      <c r="D214" s="12" t="s">
        <v>257</v>
      </c>
      <c r="E214" s="13"/>
      <c r="F214" s="13"/>
      <c r="G214" s="13"/>
      <c r="H214" s="13"/>
      <c r="I214" s="49"/>
      <c r="J214" s="13"/>
      <c r="K214" s="13"/>
    </row>
    <row r="215" spans="1:11" ht="16.5">
      <c r="A215" s="66"/>
      <c r="B215" s="68"/>
      <c r="C215" s="155" t="s">
        <v>259</v>
      </c>
      <c r="D215" s="12" t="s">
        <v>260</v>
      </c>
      <c r="E215" s="13"/>
      <c r="F215" s="13"/>
      <c r="G215" s="13"/>
      <c r="H215" s="13"/>
      <c r="I215" s="49"/>
      <c r="J215" s="13"/>
      <c r="K215" s="13"/>
    </row>
    <row r="216" spans="1:14" ht="16.5">
      <c r="A216" s="66"/>
      <c r="B216" s="68"/>
      <c r="C216" s="11"/>
      <c r="D216" s="72" t="s">
        <v>261</v>
      </c>
      <c r="E216" s="41">
        <f>SUM(E204,E206,E208,E213,E214,E215,)</f>
        <v>0</v>
      </c>
      <c r="F216" s="41">
        <f>SUM(F204,F206,F208,F213,F214,F215,)</f>
        <v>0</v>
      </c>
      <c r="G216" s="41">
        <f>SUM(G204,G206,G208,G213,G214,G215,G211)</f>
        <v>3780</v>
      </c>
      <c r="H216" s="41">
        <f>SUM(H204,H206,H208,H213,H214,H215,H211)</f>
        <v>6319</v>
      </c>
      <c r="I216" s="41">
        <f>SUM(I204,I206,I208,I213,I214,I215,I211)</f>
        <v>0</v>
      </c>
      <c r="J216" s="41">
        <f>SUM(J204+J206+J208+J211)</f>
        <v>0</v>
      </c>
      <c r="K216" s="41">
        <f>SUM(K204+K206+K208+K211)</f>
        <v>4319</v>
      </c>
      <c r="N216" s="25"/>
    </row>
    <row r="217" spans="1:11" ht="16.5">
      <c r="A217" s="66"/>
      <c r="B217" s="65" t="s">
        <v>22</v>
      </c>
      <c r="C217" s="16"/>
      <c r="D217" s="75" t="s">
        <v>263</v>
      </c>
      <c r="E217" s="76"/>
      <c r="F217" s="76"/>
      <c r="G217" s="76"/>
      <c r="H217" s="76"/>
      <c r="I217" s="76"/>
      <c r="J217" s="76"/>
      <c r="K217" s="76"/>
    </row>
    <row r="218" spans="1:14" ht="16.5">
      <c r="A218" s="256"/>
      <c r="B218" s="249"/>
      <c r="C218" s="250"/>
      <c r="D218" s="1212"/>
      <c r="E218" s="316"/>
      <c r="F218" s="316"/>
      <c r="G218" s="316"/>
      <c r="H218" s="316"/>
      <c r="I218" s="316"/>
      <c r="J218" s="316"/>
      <c r="K218" s="316"/>
      <c r="N218" s="25"/>
    </row>
    <row r="219" spans="1:11" ht="16.5">
      <c r="A219" s="33"/>
      <c r="B219" s="65"/>
      <c r="C219" s="15"/>
      <c r="D219" s="1211" t="s">
        <v>170</v>
      </c>
      <c r="E219" s="1138"/>
      <c r="F219" s="1138"/>
      <c r="G219" s="1138"/>
      <c r="H219" s="1138"/>
      <c r="I219" s="1138"/>
      <c r="J219" s="1138"/>
      <c r="K219" s="1139"/>
    </row>
    <row r="220" spans="1:11" ht="16.5">
      <c r="A220" s="66"/>
      <c r="B220" s="65" t="s">
        <v>14</v>
      </c>
      <c r="C220" s="10"/>
      <c r="D220" s="253" t="s">
        <v>240</v>
      </c>
      <c r="E220" s="306"/>
      <c r="F220" s="306"/>
      <c r="G220" s="306"/>
      <c r="H220" s="306"/>
      <c r="I220" s="306"/>
      <c r="J220" s="306"/>
      <c r="K220" s="67"/>
    </row>
    <row r="221" spans="1:11" ht="16.5">
      <c r="A221" s="66"/>
      <c r="B221" s="68"/>
      <c r="C221" s="15" t="s">
        <v>16</v>
      </c>
      <c r="D221" s="12" t="s">
        <v>623</v>
      </c>
      <c r="E221" s="13" t="e">
        <f>SUM(#REF!)</f>
        <v>#REF!</v>
      </c>
      <c r="F221" s="13" t="e">
        <f>SUM(#REF!)</f>
        <v>#REF!</v>
      </c>
      <c r="G221" s="49"/>
      <c r="H221" s="13" t="e">
        <f>SUM(#REF!)</f>
        <v>#REF!</v>
      </c>
      <c r="I221" s="13">
        <v>1296</v>
      </c>
      <c r="J221" s="13"/>
      <c r="K221" s="13">
        <v>900</v>
      </c>
    </row>
    <row r="222" spans="1:11" ht="16.5">
      <c r="A222" s="66"/>
      <c r="B222" s="68"/>
      <c r="C222" s="15" t="s">
        <v>17</v>
      </c>
      <c r="D222" s="12" t="s">
        <v>1209</v>
      </c>
      <c r="E222" s="13">
        <v>0</v>
      </c>
      <c r="F222" s="13">
        <v>0</v>
      </c>
      <c r="G222" s="49"/>
      <c r="H222" s="13">
        <v>0</v>
      </c>
      <c r="I222" s="13">
        <v>0</v>
      </c>
      <c r="J222" s="13"/>
      <c r="K222" s="13"/>
    </row>
    <row r="223" spans="1:11" ht="16.5">
      <c r="A223" s="66"/>
      <c r="B223" s="68"/>
      <c r="C223" s="15" t="s">
        <v>36</v>
      </c>
      <c r="D223" s="12" t="s">
        <v>243</v>
      </c>
      <c r="E223" s="13">
        <f>SUM(E224)</f>
        <v>0</v>
      </c>
      <c r="F223" s="13">
        <f>SUM(F224)</f>
        <v>0</v>
      </c>
      <c r="G223" s="49"/>
      <c r="H223" s="13">
        <f>SUM(H224)</f>
        <v>6319</v>
      </c>
      <c r="I223" s="13">
        <f>SUM(I224)</f>
        <v>9403</v>
      </c>
      <c r="J223" s="13">
        <f>SUM(J224)</f>
        <v>0</v>
      </c>
      <c r="K223" s="13">
        <f>SUM(K224)</f>
        <v>6507</v>
      </c>
    </row>
    <row r="224" spans="1:11" ht="16.5">
      <c r="A224" s="174"/>
      <c r="B224" s="175"/>
      <c r="C224" s="51" t="s">
        <v>124</v>
      </c>
      <c r="D224" s="47" t="s">
        <v>244</v>
      </c>
      <c r="E224" s="48">
        <f>SUM(E225+E227+E229)</f>
        <v>0</v>
      </c>
      <c r="F224" s="48">
        <f>SUM(F225+F227+F229)</f>
        <v>0</v>
      </c>
      <c r="G224" s="169"/>
      <c r="H224" s="48">
        <f>SUM(H225+H227+H229)</f>
        <v>6319</v>
      </c>
      <c r="I224" s="48">
        <f>SUM(I225+I227+I229)</f>
        <v>9403</v>
      </c>
      <c r="J224" s="48">
        <f>SUM(J225+J227+J229)</f>
        <v>0</v>
      </c>
      <c r="K224" s="48">
        <f>SUM(K225+K227+K229)</f>
        <v>6507</v>
      </c>
    </row>
    <row r="225" spans="1:11" ht="16.5">
      <c r="A225" s="66"/>
      <c r="B225" s="68"/>
      <c r="C225" s="10" t="s">
        <v>72</v>
      </c>
      <c r="D225" s="12" t="s">
        <v>677</v>
      </c>
      <c r="E225" s="13">
        <f>SUM(E226:E226)</f>
        <v>0</v>
      </c>
      <c r="F225" s="13">
        <f>SUM(F226:F226)</f>
        <v>0</v>
      </c>
      <c r="G225" s="49"/>
      <c r="H225" s="13">
        <f>SUM(H226:H226)</f>
        <v>450</v>
      </c>
      <c r="I225" s="13">
        <f>SUM(I226:I226)</f>
        <v>4919</v>
      </c>
      <c r="J225" s="13">
        <f>SUM(J226:J226)</f>
        <v>0</v>
      </c>
      <c r="K225" s="13">
        <f>SUM(K226:K226)</f>
        <v>3156</v>
      </c>
    </row>
    <row r="226" spans="1:11" ht="16.5">
      <c r="A226" s="66"/>
      <c r="B226" s="68"/>
      <c r="C226" s="10" t="s">
        <v>73</v>
      </c>
      <c r="D226" s="248" t="s">
        <v>658</v>
      </c>
      <c r="E226" s="13"/>
      <c r="F226" s="13"/>
      <c r="G226" s="49"/>
      <c r="H226" s="13">
        <v>450</v>
      </c>
      <c r="I226" s="13">
        <v>4919</v>
      </c>
      <c r="J226" s="13"/>
      <c r="K226" s="13">
        <v>3156</v>
      </c>
    </row>
    <row r="227" spans="1:11" ht="16.5">
      <c r="A227" s="66"/>
      <c r="B227" s="68"/>
      <c r="C227" s="10" t="s">
        <v>1464</v>
      </c>
      <c r="D227" s="247" t="s">
        <v>915</v>
      </c>
      <c r="E227" s="13">
        <f>SUM(E228:E228)</f>
        <v>0</v>
      </c>
      <c r="F227" s="13">
        <f>SUM(F228:F228)</f>
        <v>0</v>
      </c>
      <c r="G227" s="49"/>
      <c r="H227" s="13">
        <f>SUM(H228:H228)</f>
        <v>660</v>
      </c>
      <c r="I227" s="13">
        <f>SUM(I228:I228)</f>
        <v>2130</v>
      </c>
      <c r="J227" s="13"/>
      <c r="K227" s="13">
        <f>SUM(K228)</f>
        <v>760</v>
      </c>
    </row>
    <row r="228" spans="1:11" ht="16.5">
      <c r="A228" s="66"/>
      <c r="B228" s="68"/>
      <c r="C228" s="10" t="s">
        <v>666</v>
      </c>
      <c r="D228" s="248" t="s">
        <v>658</v>
      </c>
      <c r="E228" s="13"/>
      <c r="F228" s="13"/>
      <c r="G228" s="49"/>
      <c r="H228" s="13">
        <v>660</v>
      </c>
      <c r="I228" s="13">
        <v>2130</v>
      </c>
      <c r="J228" s="13"/>
      <c r="K228" s="13">
        <v>760</v>
      </c>
    </row>
    <row r="229" spans="1:11" ht="16.5">
      <c r="A229" s="66"/>
      <c r="B229" s="68"/>
      <c r="C229" s="10" t="s">
        <v>496</v>
      </c>
      <c r="D229" s="247" t="s">
        <v>670</v>
      </c>
      <c r="E229" s="13">
        <f>SUM(E230:E230)</f>
        <v>0</v>
      </c>
      <c r="F229" s="13">
        <f>SUM(F230:F230)</f>
        <v>0</v>
      </c>
      <c r="G229" s="49"/>
      <c r="H229" s="13">
        <f>SUM(H230:H230)</f>
        <v>5209</v>
      </c>
      <c r="I229" s="13">
        <f>SUM(I230:I230)</f>
        <v>2354</v>
      </c>
      <c r="J229" s="13"/>
      <c r="K229" s="13">
        <f>SUM(K230)</f>
        <v>2591</v>
      </c>
    </row>
    <row r="230" spans="1:13" ht="16.5">
      <c r="A230" s="66"/>
      <c r="B230" s="68"/>
      <c r="C230" s="10" t="s">
        <v>671</v>
      </c>
      <c r="D230" s="248" t="s">
        <v>658</v>
      </c>
      <c r="E230" s="13"/>
      <c r="F230" s="13"/>
      <c r="G230" s="49"/>
      <c r="H230" s="13">
        <v>5209</v>
      </c>
      <c r="I230" s="13">
        <v>2354</v>
      </c>
      <c r="J230" s="13"/>
      <c r="K230" s="13">
        <v>2591</v>
      </c>
      <c r="M230" s="25">
        <f>SUM(K250-K234)</f>
        <v>0</v>
      </c>
    </row>
    <row r="231" spans="1:11" ht="16.5">
      <c r="A231" s="66"/>
      <c r="B231" s="68"/>
      <c r="C231" s="15" t="s">
        <v>37</v>
      </c>
      <c r="D231" s="12" t="s">
        <v>1164</v>
      </c>
      <c r="E231" s="13">
        <f>SUM(E232)</f>
        <v>0</v>
      </c>
      <c r="F231" s="13">
        <f>SUM(F232)</f>
        <v>0</v>
      </c>
      <c r="G231" s="49"/>
      <c r="H231" s="13">
        <f>SUM(H232)</f>
        <v>0</v>
      </c>
      <c r="I231" s="13">
        <f>SUM(I232)</f>
        <v>3232</v>
      </c>
      <c r="J231" s="13">
        <f>SUM(J232)</f>
        <v>0</v>
      </c>
      <c r="K231" s="13">
        <f>SUM(K232)</f>
        <v>3289</v>
      </c>
    </row>
    <row r="232" spans="1:11" ht="16.5">
      <c r="A232" s="66"/>
      <c r="B232" s="68"/>
      <c r="C232" s="10" t="s">
        <v>353</v>
      </c>
      <c r="D232" s="248" t="s">
        <v>914</v>
      </c>
      <c r="E232" s="13"/>
      <c r="F232" s="13"/>
      <c r="G232" s="49"/>
      <c r="H232" s="13"/>
      <c r="I232" s="13">
        <v>3232</v>
      </c>
      <c r="J232" s="13"/>
      <c r="K232" s="13">
        <v>3289</v>
      </c>
    </row>
    <row r="233" spans="1:11" ht="16.5">
      <c r="A233" s="66"/>
      <c r="B233" s="68"/>
      <c r="C233" s="10"/>
      <c r="D233" s="12"/>
      <c r="E233" s="13"/>
      <c r="F233" s="13"/>
      <c r="G233" s="49"/>
      <c r="H233" s="13"/>
      <c r="I233" s="13"/>
      <c r="J233" s="13"/>
      <c r="K233" s="13"/>
    </row>
    <row r="234" spans="1:11" ht="16.5">
      <c r="A234" s="66"/>
      <c r="B234" s="68"/>
      <c r="C234" s="10"/>
      <c r="D234" s="69" t="s">
        <v>248</v>
      </c>
      <c r="E234" s="41" t="e">
        <f>SUM(E221+E223+E222+E231)</f>
        <v>#REF!</v>
      </c>
      <c r="F234" s="41" t="e">
        <f>SUM(F221+F223+F222+F231)</f>
        <v>#REF!</v>
      </c>
      <c r="G234" s="258"/>
      <c r="H234" s="41" t="e">
        <f>SUM(H221+H223+H222+H231)</f>
        <v>#REF!</v>
      </c>
      <c r="I234" s="41">
        <f>SUM(I221+I223+I222+I231)</f>
        <v>13931</v>
      </c>
      <c r="J234" s="41">
        <f>SUM(J221+J223+J222+J231)</f>
        <v>0</v>
      </c>
      <c r="K234" s="41">
        <f>SUM(K221+K223+K222+K231)</f>
        <v>10696</v>
      </c>
    </row>
    <row r="235" spans="1:15" ht="16.5">
      <c r="A235" s="66"/>
      <c r="B235" s="65" t="s">
        <v>19</v>
      </c>
      <c r="C235" s="11"/>
      <c r="D235" s="1128" t="s">
        <v>250</v>
      </c>
      <c r="E235" s="1129"/>
      <c r="F235" s="1129"/>
      <c r="G235" s="1129"/>
      <c r="H235" s="1129"/>
      <c r="I235" s="1129"/>
      <c r="J235" s="1129"/>
      <c r="K235" s="1136"/>
      <c r="O235" s="25"/>
    </row>
    <row r="236" spans="1:11" ht="16.5">
      <c r="A236" s="66"/>
      <c r="B236" s="68"/>
      <c r="C236" s="11" t="s">
        <v>20</v>
      </c>
      <c r="D236" s="12" t="s">
        <v>251</v>
      </c>
      <c r="E236" s="13">
        <f>SUM(E237:E238)</f>
        <v>0</v>
      </c>
      <c r="F236" s="13">
        <f>SUM(F237:F238)</f>
        <v>0</v>
      </c>
      <c r="G236" s="49"/>
      <c r="H236" s="13">
        <f>SUM(H237:H238)</f>
        <v>5743</v>
      </c>
      <c r="I236" s="13">
        <f>SUM(I237:I237)</f>
        <v>6484</v>
      </c>
      <c r="J236" s="13">
        <f>SUM(J237:J237)</f>
        <v>0</v>
      </c>
      <c r="K236" s="13">
        <f>SUM(K237:K237)</f>
        <v>5536</v>
      </c>
    </row>
    <row r="237" spans="1:11" ht="16.5">
      <c r="A237" s="66"/>
      <c r="B237" s="68"/>
      <c r="C237" s="11" t="s">
        <v>144</v>
      </c>
      <c r="D237" s="248" t="s">
        <v>233</v>
      </c>
      <c r="E237" s="13"/>
      <c r="F237" s="13"/>
      <c r="G237" s="49"/>
      <c r="H237" s="13">
        <v>5458</v>
      </c>
      <c r="I237" s="13">
        <v>6484</v>
      </c>
      <c r="J237" s="13"/>
      <c r="K237" s="13">
        <v>5536</v>
      </c>
    </row>
    <row r="238" spans="1:11" ht="16.5">
      <c r="A238" s="66"/>
      <c r="B238" s="68"/>
      <c r="C238" s="11" t="s">
        <v>186</v>
      </c>
      <c r="D238" s="248" t="s">
        <v>658</v>
      </c>
      <c r="E238" s="13"/>
      <c r="F238" s="13"/>
      <c r="G238" s="49"/>
      <c r="H238" s="13">
        <v>285</v>
      </c>
      <c r="I238" s="13"/>
      <c r="J238" s="13"/>
      <c r="K238" s="13"/>
    </row>
    <row r="239" spans="1:11" ht="16.5">
      <c r="A239" s="66"/>
      <c r="B239" s="68"/>
      <c r="C239" s="11" t="s">
        <v>44</v>
      </c>
      <c r="D239" s="12" t="s">
        <v>35</v>
      </c>
      <c r="E239" s="13">
        <f>SUM(E240:E241)</f>
        <v>0</v>
      </c>
      <c r="F239" s="13">
        <f>SUM(F240:F241)</f>
        <v>0</v>
      </c>
      <c r="G239" s="49"/>
      <c r="H239" s="13">
        <f>SUM(H240:H241)</f>
        <v>1948</v>
      </c>
      <c r="I239" s="13">
        <f>SUM(I240:I240)</f>
        <v>1903</v>
      </c>
      <c r="J239" s="13">
        <f>SUM(J240:J240)</f>
        <v>0</v>
      </c>
      <c r="K239" s="13">
        <f>SUM(K240:K240)</f>
        <v>1407</v>
      </c>
    </row>
    <row r="240" spans="1:11" ht="16.5">
      <c r="A240" s="66"/>
      <c r="B240" s="68"/>
      <c r="C240" s="11" t="s">
        <v>188</v>
      </c>
      <c r="D240" s="248" t="s">
        <v>233</v>
      </c>
      <c r="E240" s="13"/>
      <c r="F240" s="13"/>
      <c r="G240" s="49"/>
      <c r="H240" s="13">
        <v>1850</v>
      </c>
      <c r="I240" s="13">
        <v>1903</v>
      </c>
      <c r="J240" s="13"/>
      <c r="K240" s="13">
        <v>1407</v>
      </c>
    </row>
    <row r="241" spans="1:11" ht="16.5">
      <c r="A241" s="66"/>
      <c r="B241" s="68"/>
      <c r="C241" s="11" t="s">
        <v>1461</v>
      </c>
      <c r="D241" s="248" t="s">
        <v>658</v>
      </c>
      <c r="E241" s="13"/>
      <c r="F241" s="13"/>
      <c r="G241" s="49"/>
      <c r="H241" s="13">
        <v>98</v>
      </c>
      <c r="I241" s="13"/>
      <c r="J241" s="13"/>
      <c r="K241" s="13"/>
    </row>
    <row r="242" spans="1:11" ht="16.5">
      <c r="A242" s="66"/>
      <c r="B242" s="68"/>
      <c r="C242" s="11" t="s">
        <v>45</v>
      </c>
      <c r="D242" s="12" t="s">
        <v>253</v>
      </c>
      <c r="E242" s="13">
        <f>SUM(E243:E243)</f>
        <v>0</v>
      </c>
      <c r="F242" s="13">
        <f>SUM(F243:F243)</f>
        <v>0</v>
      </c>
      <c r="G242" s="49"/>
      <c r="H242" s="13">
        <f>SUM(H243:H243)</f>
        <v>357</v>
      </c>
      <c r="I242" s="13">
        <f>SUM(I243:I244)</f>
        <v>2312</v>
      </c>
      <c r="J242" s="13">
        <f>SUM(J243:J244)</f>
        <v>0</v>
      </c>
      <c r="K242" s="13">
        <f>SUM(K243:K244)</f>
        <v>464</v>
      </c>
    </row>
    <row r="243" spans="1:11" ht="16.5">
      <c r="A243" s="66"/>
      <c r="B243" s="68"/>
      <c r="C243" s="11" t="s">
        <v>254</v>
      </c>
      <c r="D243" s="248" t="s">
        <v>171</v>
      </c>
      <c r="E243" s="13"/>
      <c r="F243" s="13"/>
      <c r="G243" s="49"/>
      <c r="H243" s="13">
        <v>357</v>
      </c>
      <c r="I243" s="13">
        <v>418</v>
      </c>
      <c r="J243" s="13"/>
      <c r="K243" s="13">
        <v>262</v>
      </c>
    </row>
    <row r="244" spans="1:11" ht="16.5">
      <c r="A244" s="66"/>
      <c r="B244" s="68"/>
      <c r="C244" s="11" t="s">
        <v>690</v>
      </c>
      <c r="D244" s="248" t="s">
        <v>658</v>
      </c>
      <c r="E244" s="13"/>
      <c r="F244" s="13"/>
      <c r="G244" s="49"/>
      <c r="H244" s="13"/>
      <c r="I244" s="13">
        <v>1894</v>
      </c>
      <c r="J244" s="13"/>
      <c r="K244" s="13">
        <v>202</v>
      </c>
    </row>
    <row r="245" spans="1:11" ht="16.5">
      <c r="A245" s="66"/>
      <c r="B245" s="68"/>
      <c r="C245" s="11" t="s">
        <v>45</v>
      </c>
      <c r="D245" s="12" t="s">
        <v>232</v>
      </c>
      <c r="E245" s="13"/>
      <c r="F245" s="13"/>
      <c r="G245" s="49"/>
      <c r="H245" s="13">
        <f>SUM(H246)</f>
        <v>2310</v>
      </c>
      <c r="I245" s="13">
        <f>SUM(I246)</f>
        <v>3232</v>
      </c>
      <c r="J245" s="13">
        <f>SUM(J246)</f>
        <v>0</v>
      </c>
      <c r="K245" s="13">
        <f>SUM(K246)</f>
        <v>3289</v>
      </c>
    </row>
    <row r="246" spans="1:11" ht="16.5">
      <c r="A246" s="66"/>
      <c r="B246" s="68"/>
      <c r="C246" s="11" t="s">
        <v>254</v>
      </c>
      <c r="D246" s="248" t="s">
        <v>662</v>
      </c>
      <c r="E246" s="13"/>
      <c r="F246" s="13"/>
      <c r="G246" s="49"/>
      <c r="H246" s="13">
        <v>2310</v>
      </c>
      <c r="I246" s="13">
        <v>3232</v>
      </c>
      <c r="J246" s="13"/>
      <c r="K246" s="13">
        <v>3289</v>
      </c>
    </row>
    <row r="247" spans="1:11" ht="16.5">
      <c r="A247" s="66"/>
      <c r="B247" s="68"/>
      <c r="C247" s="11" t="s">
        <v>49</v>
      </c>
      <c r="D247" s="12" t="s">
        <v>256</v>
      </c>
      <c r="E247" s="13"/>
      <c r="F247" s="13"/>
      <c r="G247" s="49"/>
      <c r="H247" s="13"/>
      <c r="I247" s="13"/>
      <c r="J247" s="13"/>
      <c r="K247" s="13"/>
    </row>
    <row r="248" spans="1:11" ht="16.5">
      <c r="A248" s="66"/>
      <c r="B248" s="68"/>
      <c r="C248" s="11" t="s">
        <v>50</v>
      </c>
      <c r="D248" s="12" t="s">
        <v>257</v>
      </c>
      <c r="E248" s="13"/>
      <c r="F248" s="13"/>
      <c r="G248" s="49"/>
      <c r="H248" s="13"/>
      <c r="I248" s="13"/>
      <c r="J248" s="13"/>
      <c r="K248" s="13"/>
    </row>
    <row r="249" spans="1:11" ht="16.5">
      <c r="A249" s="66"/>
      <c r="B249" s="68"/>
      <c r="C249" s="11" t="s">
        <v>51</v>
      </c>
      <c r="D249" s="12" t="s">
        <v>260</v>
      </c>
      <c r="E249" s="13"/>
      <c r="F249" s="13"/>
      <c r="G249" s="49"/>
      <c r="H249" s="13"/>
      <c r="I249" s="13"/>
      <c r="J249" s="13"/>
      <c r="K249" s="13"/>
    </row>
    <row r="250" spans="1:11" ht="16.5">
      <c r="A250" s="66"/>
      <c r="B250" s="68"/>
      <c r="C250" s="11"/>
      <c r="D250" s="72" t="s">
        <v>261</v>
      </c>
      <c r="E250" s="41">
        <f>SUM(E236,E239,E242,E247,E248,E249,)</f>
        <v>0</v>
      </c>
      <c r="F250" s="41">
        <f>SUM(F236,F239,F242,F247,F248,F249,)</f>
        <v>0</v>
      </c>
      <c r="G250" s="258"/>
      <c r="H250" s="41">
        <f>SUM(H236+H239+H242+H245)</f>
        <v>10358</v>
      </c>
      <c r="I250" s="41">
        <f>SUM(I236+I239+I242+I245+I247+I248+I249)</f>
        <v>13931</v>
      </c>
      <c r="J250" s="41">
        <f>SUM(J236+J239+J242+J245+J247+J248+J249)</f>
        <v>0</v>
      </c>
      <c r="K250" s="41">
        <f>SUM(K236+K239+K242+K245+K247+K248+K249)</f>
        <v>10696</v>
      </c>
    </row>
    <row r="251" spans="1:11" ht="16.5">
      <c r="A251" s="66"/>
      <c r="B251" s="65" t="s">
        <v>22</v>
      </c>
      <c r="C251" s="16"/>
      <c r="D251" s="75" t="s">
        <v>263</v>
      </c>
      <c r="E251" s="76"/>
      <c r="F251" s="76"/>
      <c r="G251" s="76"/>
      <c r="H251" s="76"/>
      <c r="I251" s="76"/>
      <c r="J251" s="76"/>
      <c r="K251" s="76"/>
    </row>
    <row r="252" spans="1:11" ht="16.5">
      <c r="A252" s="94"/>
      <c r="B252" s="249"/>
      <c r="C252" s="250"/>
      <c r="D252" s="253" t="s">
        <v>235</v>
      </c>
      <c r="E252" s="257"/>
      <c r="F252" s="257"/>
      <c r="G252" s="257"/>
      <c r="H252" s="257"/>
      <c r="I252" s="257"/>
      <c r="J252" s="257"/>
      <c r="K252" s="1210"/>
    </row>
    <row r="253" spans="1:11" ht="16.5">
      <c r="A253" s="33"/>
      <c r="B253" s="65"/>
      <c r="C253" s="16"/>
      <c r="D253" s="1137" t="s">
        <v>317</v>
      </c>
      <c r="E253" s="1138"/>
      <c r="F253" s="1138"/>
      <c r="G253" s="1138"/>
      <c r="H253" s="1138"/>
      <c r="I253" s="1138"/>
      <c r="J253" s="1138"/>
      <c r="K253" s="1139"/>
    </row>
    <row r="254" spans="1:11" ht="16.5">
      <c r="A254" s="66"/>
      <c r="B254" s="65" t="s">
        <v>14</v>
      </c>
      <c r="C254" s="10"/>
      <c r="D254" s="1128" t="s">
        <v>240</v>
      </c>
      <c r="E254" s="1129"/>
      <c r="F254" s="1129"/>
      <c r="G254" s="1129"/>
      <c r="H254" s="1129"/>
      <c r="I254" s="1129"/>
      <c r="J254" s="1129"/>
      <c r="K254" s="1136"/>
    </row>
    <row r="255" spans="1:11" ht="16.5">
      <c r="A255" s="66"/>
      <c r="B255" s="68"/>
      <c r="C255" s="15" t="s">
        <v>16</v>
      </c>
      <c r="D255" s="12" t="s">
        <v>623</v>
      </c>
      <c r="E255" s="13"/>
      <c r="F255" s="13" t="e">
        <f>SUM(#REF!)</f>
        <v>#REF!</v>
      </c>
      <c r="G255" s="13">
        <v>4947</v>
      </c>
      <c r="H255" s="13">
        <v>4947</v>
      </c>
      <c r="I255" s="13">
        <v>4859</v>
      </c>
      <c r="J255" s="13"/>
      <c r="K255" s="13">
        <v>4088</v>
      </c>
    </row>
    <row r="256" spans="1:11" ht="16.5">
      <c r="A256" s="66"/>
      <c r="B256" s="68"/>
      <c r="C256" s="15" t="s">
        <v>17</v>
      </c>
      <c r="D256" s="12" t="s">
        <v>1209</v>
      </c>
      <c r="E256" s="13"/>
      <c r="F256" s="13">
        <v>0</v>
      </c>
      <c r="G256" s="13"/>
      <c r="H256" s="13"/>
      <c r="I256" s="13"/>
      <c r="J256" s="13"/>
      <c r="K256" s="13"/>
    </row>
    <row r="257" spans="1:11" ht="16.5">
      <c r="A257" s="66"/>
      <c r="B257" s="68"/>
      <c r="C257" s="15" t="s">
        <v>36</v>
      </c>
      <c r="D257" s="12" t="s">
        <v>243</v>
      </c>
      <c r="E257" s="13"/>
      <c r="F257" s="13" t="e">
        <f aca="true" t="shared" si="31" ref="F257:K257">SUM(F258)</f>
        <v>#REF!</v>
      </c>
      <c r="G257" s="13">
        <f t="shared" si="31"/>
        <v>10457</v>
      </c>
      <c r="H257" s="13">
        <f t="shared" si="31"/>
        <v>10457</v>
      </c>
      <c r="I257" s="13">
        <f t="shared" si="31"/>
        <v>10772</v>
      </c>
      <c r="J257" s="13">
        <f t="shared" si="31"/>
        <v>0</v>
      </c>
      <c r="K257" s="13">
        <f t="shared" si="31"/>
        <v>6924</v>
      </c>
    </row>
    <row r="258" spans="1:11" ht="16.5">
      <c r="A258" s="174"/>
      <c r="B258" s="175"/>
      <c r="C258" s="51" t="s">
        <v>124</v>
      </c>
      <c r="D258" s="47" t="s">
        <v>244</v>
      </c>
      <c r="E258" s="48"/>
      <c r="F258" s="48" t="e">
        <f>SUM(F259+#REF!+F260)</f>
        <v>#REF!</v>
      </c>
      <c r="G258" s="48">
        <f>SUM(G259:G260)</f>
        <v>10457</v>
      </c>
      <c r="H258" s="48">
        <f>SUM(H259:H260)</f>
        <v>10457</v>
      </c>
      <c r="I258" s="48">
        <f>SUM(I259:I260)</f>
        <v>10772</v>
      </c>
      <c r="J258" s="48">
        <f>SUM(J259:J260)</f>
        <v>0</v>
      </c>
      <c r="K258" s="48">
        <f>SUM(K259:K260)</f>
        <v>6924</v>
      </c>
    </row>
    <row r="259" spans="1:11" ht="16.5">
      <c r="A259" s="66"/>
      <c r="B259" s="68"/>
      <c r="C259" s="10" t="s">
        <v>72</v>
      </c>
      <c r="D259" s="12" t="s">
        <v>234</v>
      </c>
      <c r="E259" s="13"/>
      <c r="F259" s="13" t="e">
        <f>SUM(#REF!)</f>
        <v>#REF!</v>
      </c>
      <c r="G259" s="13">
        <v>7831</v>
      </c>
      <c r="H259" s="13">
        <v>7831</v>
      </c>
      <c r="I259" s="13">
        <v>5777</v>
      </c>
      <c r="J259" s="13"/>
      <c r="K259" s="13">
        <v>4456</v>
      </c>
    </row>
    <row r="260" spans="1:14" ht="16.5">
      <c r="A260" s="66"/>
      <c r="B260" s="68"/>
      <c r="C260" s="10" t="s">
        <v>496</v>
      </c>
      <c r="D260" s="247" t="s">
        <v>670</v>
      </c>
      <c r="E260" s="13"/>
      <c r="F260" s="13" t="e">
        <f>SUM(#REF!)</f>
        <v>#REF!</v>
      </c>
      <c r="G260" s="13">
        <v>2626</v>
      </c>
      <c r="H260" s="13">
        <v>2626</v>
      </c>
      <c r="I260" s="13">
        <v>4995</v>
      </c>
      <c r="J260" s="13"/>
      <c r="K260" s="13">
        <v>2468</v>
      </c>
      <c r="N260" s="25"/>
    </row>
    <row r="261" spans="1:11" ht="16.5">
      <c r="A261" s="66"/>
      <c r="B261" s="68"/>
      <c r="C261" s="10"/>
      <c r="D261" s="69" t="s">
        <v>248</v>
      </c>
      <c r="E261" s="41"/>
      <c r="F261" s="41"/>
      <c r="G261" s="41">
        <f>SUM(G255:G257)</f>
        <v>15404</v>
      </c>
      <c r="H261" s="41">
        <f>SUM(H255:H257)</f>
        <v>15404</v>
      </c>
      <c r="I261" s="41">
        <f>SUM(I255:I257)</f>
        <v>15631</v>
      </c>
      <c r="J261" s="41">
        <f>SUM(J255:J257)</f>
        <v>0</v>
      </c>
      <c r="K261" s="41">
        <f>SUM(K255:K257)</f>
        <v>11012</v>
      </c>
    </row>
    <row r="262" spans="1:11" ht="16.5">
      <c r="A262" s="66"/>
      <c r="B262" s="65" t="s">
        <v>19</v>
      </c>
      <c r="C262" s="11"/>
      <c r="D262" s="1128" t="s">
        <v>250</v>
      </c>
      <c r="E262" s="1129"/>
      <c r="F262" s="1129"/>
      <c r="G262" s="1129"/>
      <c r="H262" s="1129"/>
      <c r="I262" s="1129"/>
      <c r="J262" s="1129"/>
      <c r="K262" s="1136"/>
    </row>
    <row r="263" spans="1:11" ht="16.5">
      <c r="A263" s="66"/>
      <c r="B263" s="68"/>
      <c r="C263" s="11" t="s">
        <v>20</v>
      </c>
      <c r="D263" s="12" t="s">
        <v>251</v>
      </c>
      <c r="E263" s="13"/>
      <c r="F263" s="13"/>
      <c r="G263" s="13">
        <v>4544</v>
      </c>
      <c r="H263" s="13">
        <v>4544</v>
      </c>
      <c r="I263" s="13">
        <v>4331</v>
      </c>
      <c r="J263" s="13"/>
      <c r="K263" s="13">
        <v>2369</v>
      </c>
    </row>
    <row r="264" spans="1:14" ht="16.5">
      <c r="A264" s="66"/>
      <c r="B264" s="68"/>
      <c r="C264" s="11" t="s">
        <v>44</v>
      </c>
      <c r="D264" s="12" t="s">
        <v>35</v>
      </c>
      <c r="E264" s="13"/>
      <c r="F264" s="13"/>
      <c r="G264" s="13">
        <v>1518</v>
      </c>
      <c r="H264" s="13">
        <v>1518</v>
      </c>
      <c r="I264" s="13">
        <v>1400</v>
      </c>
      <c r="J264" s="13"/>
      <c r="K264" s="13">
        <v>618</v>
      </c>
      <c r="N264" s="25"/>
    </row>
    <row r="265" spans="1:11" ht="16.5">
      <c r="A265" s="66"/>
      <c r="B265" s="68"/>
      <c r="C265" s="11" t="s">
        <v>45</v>
      </c>
      <c r="D265" s="12" t="s">
        <v>253</v>
      </c>
      <c r="E265" s="13"/>
      <c r="F265" s="13"/>
      <c r="G265" s="13">
        <v>9342</v>
      </c>
      <c r="H265" s="13">
        <v>9342</v>
      </c>
      <c r="I265" s="13">
        <v>9900</v>
      </c>
      <c r="J265" s="13"/>
      <c r="K265" s="13">
        <v>8025</v>
      </c>
    </row>
    <row r="266" spans="1:11" ht="16.5">
      <c r="A266" s="66"/>
      <c r="B266" s="68"/>
      <c r="C266" s="11" t="s">
        <v>49</v>
      </c>
      <c r="D266" s="12" t="s">
        <v>256</v>
      </c>
      <c r="E266" s="13"/>
      <c r="F266" s="13"/>
      <c r="G266" s="13"/>
      <c r="H266" s="13"/>
      <c r="I266" s="13"/>
      <c r="J266" s="13"/>
      <c r="K266" s="13"/>
    </row>
    <row r="267" spans="1:11" ht="16.5">
      <c r="A267" s="66"/>
      <c r="B267" s="68"/>
      <c r="C267" s="11" t="s">
        <v>50</v>
      </c>
      <c r="D267" s="12" t="s">
        <v>257</v>
      </c>
      <c r="E267" s="13"/>
      <c r="F267" s="13"/>
      <c r="G267" s="13"/>
      <c r="H267" s="13"/>
      <c r="I267" s="13"/>
      <c r="J267" s="13"/>
      <c r="K267" s="13"/>
    </row>
    <row r="268" spans="1:11" ht="16.5">
      <c r="A268" s="66"/>
      <c r="B268" s="68"/>
      <c r="C268" s="11" t="s">
        <v>51</v>
      </c>
      <c r="D268" s="12" t="s">
        <v>260</v>
      </c>
      <c r="E268" s="13"/>
      <c r="F268" s="13"/>
      <c r="G268" s="13"/>
      <c r="H268" s="13"/>
      <c r="I268" s="13">
        <v>0</v>
      </c>
      <c r="J268" s="13"/>
      <c r="K268" s="13"/>
    </row>
    <row r="269" spans="1:11" ht="16.5">
      <c r="A269" s="66"/>
      <c r="B269" s="68"/>
      <c r="C269" s="11"/>
      <c r="D269" s="72" t="s">
        <v>261</v>
      </c>
      <c r="E269" s="41">
        <f aca="true" t="shared" si="32" ref="E269:K269">SUM(E263,E264,E265,E266,E267,E268,)</f>
        <v>0</v>
      </c>
      <c r="F269" s="41">
        <f t="shared" si="32"/>
        <v>0</v>
      </c>
      <c r="G269" s="41">
        <f t="shared" si="32"/>
        <v>15404</v>
      </c>
      <c r="H269" s="41">
        <f t="shared" si="32"/>
        <v>15404</v>
      </c>
      <c r="I269" s="41">
        <f t="shared" si="32"/>
        <v>15631</v>
      </c>
      <c r="J269" s="41">
        <f t="shared" si="32"/>
        <v>0</v>
      </c>
      <c r="K269" s="41">
        <f t="shared" si="32"/>
        <v>11012</v>
      </c>
    </row>
    <row r="270" spans="1:11" ht="16.5">
      <c r="A270" s="66"/>
      <c r="B270" s="65" t="s">
        <v>22</v>
      </c>
      <c r="C270" s="16"/>
      <c r="D270" s="75" t="s">
        <v>263</v>
      </c>
      <c r="E270" s="76"/>
      <c r="F270" s="76"/>
      <c r="G270" s="76"/>
      <c r="H270" s="76"/>
      <c r="I270" s="76"/>
      <c r="J270" s="76">
        <v>2</v>
      </c>
      <c r="K270" s="76">
        <v>2</v>
      </c>
    </row>
  </sheetData>
  <sheetProtection/>
  <mergeCells count="15">
    <mergeCell ref="D95:K95"/>
    <mergeCell ref="D94:K94"/>
    <mergeCell ref="A1:C1"/>
    <mergeCell ref="D48:K48"/>
    <mergeCell ref="D49:K49"/>
    <mergeCell ref="D71:K71"/>
    <mergeCell ref="D96:K96"/>
    <mergeCell ref="D124:K124"/>
    <mergeCell ref="D262:K262"/>
    <mergeCell ref="D178:K178"/>
    <mergeCell ref="D203:K203"/>
    <mergeCell ref="D253:K253"/>
    <mergeCell ref="D254:K254"/>
    <mergeCell ref="D219:K219"/>
    <mergeCell ref="D235:K235"/>
  </mergeCells>
  <printOptions horizontalCentered="1"/>
  <pageMargins left="0" right="0" top="1.0236220472440944" bottom="0.3937007874015748" header="0.35433070866141736" footer="0.11811023622047245"/>
  <pageSetup firstPageNumber="64" useFirstPageNumber="1" horizontalDpi="600" verticalDpi="600" orientation="portrait" paperSize="9" scale="94" r:id="rId1"/>
  <headerFooter alignWithMargins="0">
    <oddHeader>&amp;C&amp;"Times New Roman,Félkövér"&amp;14Tájékoztató a Kistérségi Társulás intézményeinek adatairól Vecsés vonatkozásában&amp;R
3/g. sz. melléklet
ezer Ft</oddHeader>
    <oddFooter>&amp;C- &amp;P -</oddFooter>
  </headerFooter>
  <rowBreaks count="5" manualBreakCount="5">
    <brk id="47" max="255" man="1"/>
    <brk id="93" max="10" man="1"/>
    <brk id="177" max="10" man="1"/>
    <brk id="218" max="9" man="1"/>
    <brk id="251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8"/>
  <sheetViews>
    <sheetView view="pageBreakPreview" zoomScaleSheetLayoutView="100" zoomScalePageLayoutView="0" workbookViewId="0" topLeftCell="A115">
      <selection activeCell="D141" sqref="D141:I142"/>
    </sheetView>
  </sheetViews>
  <sheetFormatPr defaultColWidth="9.140625" defaultRowHeight="12.75"/>
  <cols>
    <col min="1" max="1" width="2.140625" style="0" customWidth="1"/>
    <col min="2" max="2" width="2.57421875" style="0" customWidth="1"/>
    <col min="3" max="3" width="7.57421875" style="155" customWidth="1"/>
    <col min="4" max="4" width="44.421875" style="0" customWidth="1"/>
    <col min="5" max="6" width="11.421875" style="25" hidden="1" customWidth="1"/>
    <col min="7" max="7" width="11.8515625" style="25" hidden="1" customWidth="1"/>
    <col min="8" max="8" width="12.00390625" style="25" hidden="1" customWidth="1"/>
    <col min="9" max="9" width="12.00390625" style="25" customWidth="1"/>
    <col min="10" max="10" width="49.57421875" style="0" customWidth="1"/>
    <col min="11" max="11" width="10.140625" style="0" hidden="1" customWidth="1"/>
    <col min="12" max="12" width="13.8515625" style="0" hidden="1" customWidth="1"/>
    <col min="13" max="13" width="14.00390625" style="0" customWidth="1"/>
    <col min="14" max="14" width="14.57421875" style="0" customWidth="1"/>
    <col min="15" max="15" width="10.8515625" style="0" customWidth="1"/>
    <col min="16" max="16" width="9.8515625" style="0" customWidth="1"/>
    <col min="19" max="19" width="9.140625" style="262" customWidth="1"/>
  </cols>
  <sheetData>
    <row r="1" spans="1:9" ht="48.75" customHeight="1" thickBot="1">
      <c r="A1" s="1132" t="s">
        <v>9</v>
      </c>
      <c r="B1" s="1132"/>
      <c r="C1" s="1132"/>
      <c r="D1" s="59" t="s">
        <v>165</v>
      </c>
      <c r="E1" s="204" t="s">
        <v>683</v>
      </c>
      <c r="F1" s="204" t="s">
        <v>539</v>
      </c>
      <c r="G1" s="204" t="s">
        <v>1390</v>
      </c>
      <c r="H1" s="204" t="s">
        <v>1059</v>
      </c>
      <c r="I1" s="204" t="s">
        <v>1138</v>
      </c>
    </row>
    <row r="2" spans="1:9" ht="18" thickBot="1" thickTop="1">
      <c r="A2" s="63" t="s">
        <v>238</v>
      </c>
      <c r="B2" s="64"/>
      <c r="C2" s="201"/>
      <c r="D2" s="1131" t="s">
        <v>299</v>
      </c>
      <c r="E2" s="1131"/>
      <c r="F2" s="1131"/>
      <c r="G2" s="1131"/>
      <c r="H2" s="1131"/>
      <c r="I2" s="1140"/>
    </row>
    <row r="3" spans="1:9" ht="18" thickTop="1">
      <c r="A3" s="33"/>
      <c r="B3" s="65"/>
      <c r="C3" s="15"/>
      <c r="D3" s="1213" t="s">
        <v>483</v>
      </c>
      <c r="E3" s="1213"/>
      <c r="F3" s="1213"/>
      <c r="G3" s="1213"/>
      <c r="H3" s="1213"/>
      <c r="I3" s="1214"/>
    </row>
    <row r="4" spans="1:9" ht="16.5">
      <c r="A4" s="66"/>
      <c r="B4" s="65" t="s">
        <v>14</v>
      </c>
      <c r="C4" s="10"/>
      <c r="D4" s="1128" t="s">
        <v>240</v>
      </c>
      <c r="E4" s="1129"/>
      <c r="F4" s="1129"/>
      <c r="G4" s="1129"/>
      <c r="H4" s="1129"/>
      <c r="I4" s="1136"/>
    </row>
    <row r="5" spans="1:9" ht="16.5">
      <c r="A5" s="66"/>
      <c r="B5" s="68"/>
      <c r="C5" s="15" t="s">
        <v>16</v>
      </c>
      <c r="D5" s="12" t="s">
        <v>623</v>
      </c>
      <c r="E5" s="13">
        <f>SUM(E6:E9)</f>
        <v>8168</v>
      </c>
      <c r="F5" s="13">
        <f>SUM(F6:F9)</f>
        <v>20513</v>
      </c>
      <c r="G5" s="13">
        <f>SUM(G6:G9)</f>
        <v>9179</v>
      </c>
      <c r="H5" s="13">
        <f>SUM(H6:H9)</f>
        <v>6881</v>
      </c>
      <c r="I5" s="13">
        <f>SUM(I6:I9)</f>
        <v>8000</v>
      </c>
    </row>
    <row r="6" spans="1:9" ht="16.5">
      <c r="A6" s="66"/>
      <c r="B6" s="68"/>
      <c r="C6" s="10" t="s">
        <v>54</v>
      </c>
      <c r="D6" s="12" t="s">
        <v>40</v>
      </c>
      <c r="E6" s="13">
        <v>1000</v>
      </c>
      <c r="F6" s="13">
        <v>13632</v>
      </c>
      <c r="G6" s="13">
        <v>239</v>
      </c>
      <c r="H6" s="13">
        <v>0</v>
      </c>
      <c r="I6" s="13"/>
    </row>
    <row r="7" spans="1:9" ht="16.5">
      <c r="A7" s="66"/>
      <c r="B7" s="68"/>
      <c r="C7" s="10" t="s">
        <v>55</v>
      </c>
      <c r="D7" s="12" t="s">
        <v>301</v>
      </c>
      <c r="E7" s="13">
        <v>5734</v>
      </c>
      <c r="F7" s="13">
        <v>5734</v>
      </c>
      <c r="G7" s="13">
        <v>6234</v>
      </c>
      <c r="H7" s="13">
        <v>5734</v>
      </c>
      <c r="I7" s="13">
        <v>8000</v>
      </c>
    </row>
    <row r="8" spans="1:9" ht="16.5">
      <c r="A8" s="66"/>
      <c r="B8" s="68"/>
      <c r="C8" s="10" t="s">
        <v>302</v>
      </c>
      <c r="D8" s="12" t="s">
        <v>506</v>
      </c>
      <c r="E8" s="13"/>
      <c r="F8" s="13"/>
      <c r="G8" s="13">
        <v>1232</v>
      </c>
      <c r="H8" s="13">
        <v>0</v>
      </c>
      <c r="I8" s="13"/>
    </row>
    <row r="9" spans="1:9" ht="16.5">
      <c r="A9" s="66"/>
      <c r="B9" s="68"/>
      <c r="C9" s="155" t="s">
        <v>303</v>
      </c>
      <c r="D9" s="12" t="s">
        <v>184</v>
      </c>
      <c r="E9" s="13">
        <v>1434</v>
      </c>
      <c r="F9" s="13">
        <v>1147</v>
      </c>
      <c r="G9" s="13">
        <v>1474</v>
      </c>
      <c r="H9" s="13">
        <v>1147</v>
      </c>
      <c r="I9" s="13"/>
    </row>
    <row r="10" spans="1:9" ht="15" customHeight="1">
      <c r="A10" s="66"/>
      <c r="B10" s="68"/>
      <c r="C10" s="15" t="s">
        <v>17</v>
      </c>
      <c r="D10" s="12" t="s">
        <v>1209</v>
      </c>
      <c r="E10" s="13">
        <v>0</v>
      </c>
      <c r="F10" s="13">
        <v>0</v>
      </c>
      <c r="G10" s="13"/>
      <c r="H10" s="13"/>
      <c r="I10" s="13"/>
    </row>
    <row r="11" spans="1:9" ht="16.5">
      <c r="A11" s="66"/>
      <c r="B11" s="68"/>
      <c r="C11" s="15" t="s">
        <v>36</v>
      </c>
      <c r="D11" s="12" t="s">
        <v>243</v>
      </c>
      <c r="E11" s="13">
        <f>SUM(E12+E15)</f>
        <v>316171</v>
      </c>
      <c r="F11" s="13">
        <f>SUM(F12+F15)</f>
        <v>228060</v>
      </c>
      <c r="G11" s="13">
        <f>SUM(G12+G15)</f>
        <v>330704</v>
      </c>
      <c r="H11" s="13">
        <f>SUM(H12+H15)</f>
        <v>258000</v>
      </c>
      <c r="I11" s="13">
        <f>SUM(I12+I15)</f>
        <v>353563</v>
      </c>
    </row>
    <row r="12" spans="1:19" s="52" customFormat="1" ht="16.5">
      <c r="A12" s="174"/>
      <c r="B12" s="175"/>
      <c r="C12" s="51" t="s">
        <v>124</v>
      </c>
      <c r="D12" s="47" t="s">
        <v>244</v>
      </c>
      <c r="E12" s="48">
        <f>SUM(E13:E14)</f>
        <v>212736</v>
      </c>
      <c r="F12" s="48">
        <f>SUM(F13:F14)</f>
        <v>228060</v>
      </c>
      <c r="G12" s="48">
        <f>SUM(G13:G14)</f>
        <v>306934</v>
      </c>
      <c r="H12" s="48">
        <f>SUM(H13:H14)</f>
        <v>258000</v>
      </c>
      <c r="I12" s="48">
        <f>SUM(I13:I14)</f>
        <v>353563</v>
      </c>
      <c r="S12" s="264"/>
    </row>
    <row r="13" spans="1:9" ht="16.5">
      <c r="A13" s="66"/>
      <c r="B13" s="68"/>
      <c r="C13" s="10" t="s">
        <v>72</v>
      </c>
      <c r="D13" s="12" t="s">
        <v>304</v>
      </c>
      <c r="E13" s="13">
        <v>212736</v>
      </c>
      <c r="F13" s="13">
        <v>228060</v>
      </c>
      <c r="G13" s="13">
        <v>298911</v>
      </c>
      <c r="H13" s="13">
        <v>258000</v>
      </c>
      <c r="I13" s="13">
        <v>336000</v>
      </c>
    </row>
    <row r="14" spans="1:9" ht="16.5">
      <c r="A14" s="66"/>
      <c r="B14" s="68"/>
      <c r="C14" s="10" t="s">
        <v>1464</v>
      </c>
      <c r="D14" s="12" t="s">
        <v>246</v>
      </c>
      <c r="E14" s="13"/>
      <c r="F14" s="13"/>
      <c r="G14" s="13">
        <v>8023</v>
      </c>
      <c r="H14" s="13">
        <v>0</v>
      </c>
      <c r="I14" s="13">
        <v>17563</v>
      </c>
    </row>
    <row r="15" spans="1:9" ht="16.5">
      <c r="A15" s="66"/>
      <c r="B15" s="68"/>
      <c r="C15" s="10" t="s">
        <v>125</v>
      </c>
      <c r="D15" s="12" t="s">
        <v>247</v>
      </c>
      <c r="E15" s="13">
        <v>103435</v>
      </c>
      <c r="F15" s="13"/>
      <c r="G15" s="13">
        <v>23770</v>
      </c>
      <c r="H15" s="13">
        <v>0</v>
      </c>
      <c r="I15" s="13"/>
    </row>
    <row r="16" spans="1:9" ht="16.5">
      <c r="A16" s="66"/>
      <c r="B16" s="68"/>
      <c r="C16" s="15" t="s">
        <v>37</v>
      </c>
      <c r="D16" s="12" t="s">
        <v>1112</v>
      </c>
      <c r="E16" s="13"/>
      <c r="F16" s="13"/>
      <c r="G16" s="13"/>
      <c r="H16" s="13"/>
      <c r="I16" s="13"/>
    </row>
    <row r="17" spans="1:9" ht="16.5">
      <c r="A17" s="66"/>
      <c r="B17" s="68"/>
      <c r="C17" s="10"/>
      <c r="D17" s="69" t="s">
        <v>248</v>
      </c>
      <c r="E17" s="41">
        <f>SUM(E5+E11+E10)</f>
        <v>324339</v>
      </c>
      <c r="F17" s="41">
        <f>SUM(F5+F11+F10)</f>
        <v>248573</v>
      </c>
      <c r="G17" s="41">
        <f>SUM(G5+G11+G10)</f>
        <v>339883</v>
      </c>
      <c r="H17" s="41">
        <f>SUM(H5+H11+H10)</f>
        <v>264881</v>
      </c>
      <c r="I17" s="41">
        <f>SUM(I5+I11+I10)</f>
        <v>361563</v>
      </c>
    </row>
    <row r="18" spans="1:9" ht="16.5" customHeight="1">
      <c r="A18" s="66"/>
      <c r="B18" s="65" t="s">
        <v>19</v>
      </c>
      <c r="C18" s="11"/>
      <c r="D18" s="1128" t="s">
        <v>250</v>
      </c>
      <c r="E18" s="1129"/>
      <c r="F18" s="1129"/>
      <c r="G18" s="1129"/>
      <c r="H18" s="1129"/>
      <c r="I18" s="1136"/>
    </row>
    <row r="19" spans="1:9" ht="16.5">
      <c r="A19" s="66"/>
      <c r="B19" s="68"/>
      <c r="C19" s="11" t="s">
        <v>20</v>
      </c>
      <c r="D19" s="12" t="s">
        <v>251</v>
      </c>
      <c r="E19" s="13">
        <v>79920</v>
      </c>
      <c r="F19" s="13">
        <v>96893</v>
      </c>
      <c r="G19" s="13">
        <v>106622</v>
      </c>
      <c r="H19" s="13">
        <v>102125</v>
      </c>
      <c r="I19" s="13">
        <v>111762</v>
      </c>
    </row>
    <row r="20" spans="1:9" ht="16.5">
      <c r="A20" s="66"/>
      <c r="B20" s="68"/>
      <c r="C20" s="11" t="s">
        <v>44</v>
      </c>
      <c r="D20" s="12" t="s">
        <v>35</v>
      </c>
      <c r="E20" s="13">
        <v>25137</v>
      </c>
      <c r="F20" s="13">
        <v>29779</v>
      </c>
      <c r="G20" s="13">
        <v>30303</v>
      </c>
      <c r="H20" s="13">
        <v>31407</v>
      </c>
      <c r="I20" s="13">
        <v>30511</v>
      </c>
    </row>
    <row r="21" spans="1:12" ht="16.5">
      <c r="A21" s="66"/>
      <c r="B21" s="68"/>
      <c r="C21" s="11" t="s">
        <v>45</v>
      </c>
      <c r="D21" s="12" t="s">
        <v>253</v>
      </c>
      <c r="E21" s="13">
        <v>115847</v>
      </c>
      <c r="F21" s="13">
        <v>121901</v>
      </c>
      <c r="G21" s="13">
        <v>179188</v>
      </c>
      <c r="H21" s="13">
        <v>131349</v>
      </c>
      <c r="I21" s="13">
        <v>219290</v>
      </c>
      <c r="L21" s="25" t="e">
        <f>SUM(#REF!-#REF!)</f>
        <v>#REF!</v>
      </c>
    </row>
    <row r="22" spans="1:9" ht="16.5">
      <c r="A22" s="66"/>
      <c r="B22" s="68"/>
      <c r="C22" s="11" t="s">
        <v>49</v>
      </c>
      <c r="D22" s="12" t="s">
        <v>256</v>
      </c>
      <c r="E22" s="13"/>
      <c r="F22" s="13"/>
      <c r="G22" s="13">
        <v>4664</v>
      </c>
      <c r="H22" s="13">
        <v>0</v>
      </c>
      <c r="I22" s="13"/>
    </row>
    <row r="23" spans="1:9" ht="16.5">
      <c r="A23" s="66"/>
      <c r="B23" s="68"/>
      <c r="C23" s="11" t="s">
        <v>50</v>
      </c>
      <c r="D23" s="12" t="s">
        <v>257</v>
      </c>
      <c r="E23" s="13">
        <v>103435</v>
      </c>
      <c r="F23" s="13"/>
      <c r="G23" s="13">
        <v>19106</v>
      </c>
      <c r="H23" s="13">
        <v>0</v>
      </c>
      <c r="I23" s="13"/>
    </row>
    <row r="24" spans="1:9" ht="16.5">
      <c r="A24" s="66"/>
      <c r="B24" s="68"/>
      <c r="C24" s="11" t="s">
        <v>305</v>
      </c>
      <c r="D24" s="12" t="s">
        <v>507</v>
      </c>
      <c r="E24" s="13"/>
      <c r="F24" s="13"/>
      <c r="G24" s="13"/>
      <c r="H24" s="13"/>
      <c r="I24" s="13"/>
    </row>
    <row r="25" spans="1:9" ht="16.5">
      <c r="A25" s="66"/>
      <c r="B25" s="68"/>
      <c r="C25" s="11"/>
      <c r="D25" s="72" t="s">
        <v>261</v>
      </c>
      <c r="E25" s="41">
        <f>SUM(E19:E24)</f>
        <v>324339</v>
      </c>
      <c r="F25" s="41">
        <f>SUM(F19:F24)</f>
        <v>248573</v>
      </c>
      <c r="G25" s="41">
        <f>SUM(G19:G24)</f>
        <v>339883</v>
      </c>
      <c r="H25" s="41">
        <f>SUM(H19:H24)</f>
        <v>264881</v>
      </c>
      <c r="I25" s="41">
        <f>SUM(I19:I24)</f>
        <v>361563</v>
      </c>
    </row>
    <row r="26" spans="1:9" ht="16.5">
      <c r="A26" s="66"/>
      <c r="B26" s="65" t="s">
        <v>22</v>
      </c>
      <c r="C26" s="16"/>
      <c r="D26" s="75" t="s">
        <v>266</v>
      </c>
      <c r="E26" s="168">
        <v>53.5</v>
      </c>
      <c r="F26" s="76">
        <v>58</v>
      </c>
      <c r="G26" s="76">
        <v>58</v>
      </c>
      <c r="H26" s="76">
        <v>58</v>
      </c>
      <c r="I26" s="76">
        <v>62</v>
      </c>
    </row>
    <row r="27" spans="1:9" ht="17.25">
      <c r="A27" s="33"/>
      <c r="B27" s="65"/>
      <c r="C27" s="15"/>
      <c r="D27" s="86" t="s">
        <v>484</v>
      </c>
      <c r="E27" s="87"/>
      <c r="F27" s="87"/>
      <c r="G27" s="87"/>
      <c r="H27" s="87"/>
      <c r="I27" s="1202"/>
    </row>
    <row r="28" spans="1:9" ht="16.5">
      <c r="A28" s="66"/>
      <c r="B28" s="65" t="s">
        <v>14</v>
      </c>
      <c r="C28" s="10"/>
      <c r="D28" s="1128" t="s">
        <v>240</v>
      </c>
      <c r="E28" s="1129"/>
      <c r="F28" s="1129"/>
      <c r="G28" s="1129"/>
      <c r="H28" s="1129"/>
      <c r="I28" s="1136"/>
    </row>
    <row r="29" spans="1:9" ht="16.5">
      <c r="A29" s="66"/>
      <c r="B29" s="68"/>
      <c r="C29" s="15" t="s">
        <v>16</v>
      </c>
      <c r="D29" s="12" t="s">
        <v>623</v>
      </c>
      <c r="E29" s="13"/>
      <c r="F29" s="13"/>
      <c r="G29" s="13">
        <v>0</v>
      </c>
      <c r="H29" s="13">
        <v>0</v>
      </c>
      <c r="I29" s="13"/>
    </row>
    <row r="30" spans="1:9" ht="15" customHeight="1">
      <c r="A30" s="66"/>
      <c r="B30" s="68"/>
      <c r="C30" s="15" t="s">
        <v>17</v>
      </c>
      <c r="D30" s="12" t="s">
        <v>1209</v>
      </c>
      <c r="E30" s="13">
        <v>0</v>
      </c>
      <c r="F30" s="13">
        <v>0</v>
      </c>
      <c r="G30" s="13">
        <v>0</v>
      </c>
      <c r="H30" s="13"/>
      <c r="I30" s="13"/>
    </row>
    <row r="31" spans="1:9" ht="16.5">
      <c r="A31" s="66"/>
      <c r="B31" s="68"/>
      <c r="C31" s="15" t="s">
        <v>36</v>
      </c>
      <c r="D31" s="12" t="s">
        <v>243</v>
      </c>
      <c r="E31" s="13">
        <f>SUM(E32+E35)</f>
        <v>26828</v>
      </c>
      <c r="F31" s="13">
        <f>SUM(F32+F35)</f>
        <v>27295</v>
      </c>
      <c r="G31" s="13">
        <f>SUM(G32+G35)</f>
        <v>27490</v>
      </c>
      <c r="H31" s="13">
        <f>SUM(H32+H35)</f>
        <v>39865</v>
      </c>
      <c r="I31" s="13">
        <f>SUM(I32+I35)</f>
        <v>27542</v>
      </c>
    </row>
    <row r="32" spans="1:19" s="52" customFormat="1" ht="16.5">
      <c r="A32" s="174"/>
      <c r="B32" s="175"/>
      <c r="C32" s="51" t="s">
        <v>124</v>
      </c>
      <c r="D32" s="47" t="s">
        <v>244</v>
      </c>
      <c r="E32" s="48">
        <f>SUM(E33:E34)</f>
        <v>26828</v>
      </c>
      <c r="F32" s="48">
        <f>SUM(F33:F34)</f>
        <v>27295</v>
      </c>
      <c r="G32" s="48">
        <f>SUM(G33:G34)</f>
        <v>27490</v>
      </c>
      <c r="H32" s="48">
        <f>SUM(H33:H34)</f>
        <v>39865</v>
      </c>
      <c r="I32" s="48">
        <f>SUM(I33:I34)</f>
        <v>27542</v>
      </c>
      <c r="S32" s="264"/>
    </row>
    <row r="33" spans="1:9" ht="16.5">
      <c r="A33" s="66"/>
      <c r="B33" s="68"/>
      <c r="C33" s="10" t="s">
        <v>72</v>
      </c>
      <c r="D33" s="12" t="s">
        <v>307</v>
      </c>
      <c r="E33" s="13">
        <v>20148</v>
      </c>
      <c r="F33" s="13">
        <v>20615</v>
      </c>
      <c r="G33" s="13">
        <v>20615</v>
      </c>
      <c r="H33" s="13">
        <v>30410</v>
      </c>
      <c r="I33" s="13">
        <v>17681</v>
      </c>
    </row>
    <row r="34" spans="1:9" ht="16.5">
      <c r="A34" s="66"/>
      <c r="B34" s="68"/>
      <c r="C34" s="10" t="s">
        <v>1464</v>
      </c>
      <c r="D34" s="12" t="s">
        <v>246</v>
      </c>
      <c r="E34" s="13">
        <v>6680</v>
      </c>
      <c r="F34" s="13">
        <v>6680</v>
      </c>
      <c r="G34" s="13">
        <v>6875</v>
      </c>
      <c r="H34" s="13">
        <v>9455</v>
      </c>
      <c r="I34" s="13">
        <v>9861</v>
      </c>
    </row>
    <row r="35" spans="1:9" ht="16.5">
      <c r="A35" s="66"/>
      <c r="B35" s="68"/>
      <c r="C35" s="10" t="s">
        <v>125</v>
      </c>
      <c r="D35" s="12" t="s">
        <v>247</v>
      </c>
      <c r="E35" s="13"/>
      <c r="F35" s="13"/>
      <c r="G35" s="13"/>
      <c r="H35" s="13"/>
      <c r="I35" s="13"/>
    </row>
    <row r="36" spans="1:9" ht="16.5">
      <c r="A36" s="66"/>
      <c r="B36" s="68"/>
      <c r="C36" s="10"/>
      <c r="D36" s="69" t="s">
        <v>248</v>
      </c>
      <c r="E36" s="41">
        <f>SUM(E29+E31+E30)</f>
        <v>26828</v>
      </c>
      <c r="F36" s="41">
        <f>SUM(F29+F31+F30)</f>
        <v>27295</v>
      </c>
      <c r="G36" s="41">
        <f>SUM(G29+G31+G30)</f>
        <v>27490</v>
      </c>
      <c r="H36" s="41">
        <f>SUM(H29+H31+H30)</f>
        <v>39865</v>
      </c>
      <c r="I36" s="41">
        <f>SUM(I29+I31+I30)</f>
        <v>27542</v>
      </c>
    </row>
    <row r="37" spans="1:9" ht="16.5">
      <c r="A37" s="66"/>
      <c r="B37" s="65" t="s">
        <v>19</v>
      </c>
      <c r="C37" s="11"/>
      <c r="D37" s="1128" t="s">
        <v>250</v>
      </c>
      <c r="E37" s="1129"/>
      <c r="F37" s="1129"/>
      <c r="G37" s="1129"/>
      <c r="H37" s="1129"/>
      <c r="I37" s="1136"/>
    </row>
    <row r="38" spans="1:9" ht="16.5">
      <c r="A38" s="66"/>
      <c r="B38" s="68"/>
      <c r="C38" s="11" t="s">
        <v>20</v>
      </c>
      <c r="D38" s="12" t="s">
        <v>251</v>
      </c>
      <c r="E38" s="13">
        <v>1920</v>
      </c>
      <c r="F38" s="13">
        <v>2160</v>
      </c>
      <c r="G38" s="13">
        <v>2201</v>
      </c>
      <c r="H38" s="13">
        <v>10611</v>
      </c>
      <c r="I38" s="13">
        <v>240</v>
      </c>
    </row>
    <row r="39" spans="1:9" ht="16.5">
      <c r="A39" s="66"/>
      <c r="B39" s="68"/>
      <c r="C39" s="11" t="s">
        <v>44</v>
      </c>
      <c r="D39" s="12" t="s">
        <v>35</v>
      </c>
      <c r="E39" s="13">
        <v>615</v>
      </c>
      <c r="F39" s="13">
        <v>691</v>
      </c>
      <c r="G39" s="13">
        <v>704</v>
      </c>
      <c r="H39" s="13">
        <v>3291</v>
      </c>
      <c r="I39" s="13">
        <v>66</v>
      </c>
    </row>
    <row r="40" spans="1:9" ht="16.5">
      <c r="A40" s="66"/>
      <c r="B40" s="68"/>
      <c r="C40" s="11" t="s">
        <v>45</v>
      </c>
      <c r="D40" s="12" t="s">
        <v>253</v>
      </c>
      <c r="E40" s="13">
        <v>24293</v>
      </c>
      <c r="F40" s="13">
        <v>24444</v>
      </c>
      <c r="G40" s="13">
        <v>24585</v>
      </c>
      <c r="H40" s="13">
        <v>25963</v>
      </c>
      <c r="I40" s="13">
        <v>27236</v>
      </c>
    </row>
    <row r="41" spans="1:9" ht="16.5">
      <c r="A41" s="66"/>
      <c r="B41" s="68"/>
      <c r="C41" s="11" t="s">
        <v>51</v>
      </c>
      <c r="D41" s="12" t="s">
        <v>256</v>
      </c>
      <c r="E41" s="13"/>
      <c r="F41" s="13"/>
      <c r="G41" s="13"/>
      <c r="H41" s="13"/>
      <c r="I41" s="13"/>
    </row>
    <row r="42" spans="1:9" ht="16.5">
      <c r="A42" s="66"/>
      <c r="B42" s="68"/>
      <c r="C42" s="11" t="s">
        <v>259</v>
      </c>
      <c r="D42" s="12" t="s">
        <v>257</v>
      </c>
      <c r="E42" s="13"/>
      <c r="F42" s="13"/>
      <c r="G42" s="13"/>
      <c r="H42" s="13"/>
      <c r="I42" s="13"/>
    </row>
    <row r="43" spans="1:9" ht="16.5">
      <c r="A43" s="66"/>
      <c r="B43" s="68"/>
      <c r="C43" s="11" t="s">
        <v>308</v>
      </c>
      <c r="D43" s="12" t="s">
        <v>260</v>
      </c>
      <c r="E43" s="13"/>
      <c r="F43" s="13"/>
      <c r="G43" s="13"/>
      <c r="H43" s="13"/>
      <c r="I43" s="13"/>
    </row>
    <row r="44" spans="1:9" ht="16.5">
      <c r="A44" s="66"/>
      <c r="B44" s="68"/>
      <c r="C44" s="11"/>
      <c r="D44" s="72" t="s">
        <v>261</v>
      </c>
      <c r="E44" s="41">
        <f>SUM(E38:E43)</f>
        <v>26828</v>
      </c>
      <c r="F44" s="41">
        <f>SUM(F38:F43)</f>
        <v>27295</v>
      </c>
      <c r="G44" s="41">
        <f>SUM(G38:G43)</f>
        <v>27490</v>
      </c>
      <c r="H44" s="41">
        <f>SUM(H38:H43)</f>
        <v>39865</v>
      </c>
      <c r="I44" s="41">
        <f>SUM(I38:I43)</f>
        <v>27542</v>
      </c>
    </row>
    <row r="45" spans="1:9" ht="16.5">
      <c r="A45" s="66"/>
      <c r="B45" s="65" t="s">
        <v>22</v>
      </c>
      <c r="C45" s="16"/>
      <c r="D45" s="75" t="s">
        <v>266</v>
      </c>
      <c r="E45" s="76">
        <v>1</v>
      </c>
      <c r="F45" s="76">
        <v>0</v>
      </c>
      <c r="G45" s="76">
        <v>0</v>
      </c>
      <c r="H45" s="76">
        <v>3</v>
      </c>
      <c r="I45" s="76">
        <v>0</v>
      </c>
    </row>
    <row r="46" spans="1:9" ht="17.25">
      <c r="A46" s="33"/>
      <c r="B46" s="65"/>
      <c r="C46" s="15"/>
      <c r="D46" s="86" t="s">
        <v>485</v>
      </c>
      <c r="E46" s="87"/>
      <c r="F46" s="87"/>
      <c r="G46" s="87"/>
      <c r="H46" s="87"/>
      <c r="I46" s="1202"/>
    </row>
    <row r="47" spans="1:9" ht="16.5">
      <c r="A47" s="66"/>
      <c r="B47" s="65" t="s">
        <v>14</v>
      </c>
      <c r="C47" s="10"/>
      <c r="D47" s="1128" t="s">
        <v>240</v>
      </c>
      <c r="E47" s="1129"/>
      <c r="F47" s="1129"/>
      <c r="G47" s="1129"/>
      <c r="H47" s="1129"/>
      <c r="I47" s="1136"/>
    </row>
    <row r="48" spans="1:9" ht="16.5">
      <c r="A48" s="66"/>
      <c r="B48" s="68"/>
      <c r="C48" s="15" t="s">
        <v>16</v>
      </c>
      <c r="D48" s="12" t="s">
        <v>623</v>
      </c>
      <c r="E48" s="13">
        <f>SUM(E49:E50)</f>
        <v>2585</v>
      </c>
      <c r="F48" s="13">
        <f>SUM(F49:F50)</f>
        <v>3074</v>
      </c>
      <c r="G48" s="13">
        <f>SUM(G49:G50)</f>
        <v>3074</v>
      </c>
      <c r="H48" s="13">
        <f>SUM(H49:H50)</f>
        <v>3934</v>
      </c>
      <c r="I48" s="13">
        <f>SUM(I49:I50)</f>
        <v>4200</v>
      </c>
    </row>
    <row r="49" spans="1:9" ht="16.5">
      <c r="A49" s="66"/>
      <c r="B49" s="68"/>
      <c r="C49" s="10" t="s">
        <v>309</v>
      </c>
      <c r="D49" s="12" t="s">
        <v>301</v>
      </c>
      <c r="E49" s="13">
        <v>2154</v>
      </c>
      <c r="F49" s="13">
        <v>2647</v>
      </c>
      <c r="G49" s="13">
        <v>2647</v>
      </c>
      <c r="H49" s="13">
        <v>3278</v>
      </c>
      <c r="I49" s="13">
        <v>4200</v>
      </c>
    </row>
    <row r="50" spans="1:9" ht="16.5">
      <c r="A50" s="66"/>
      <c r="B50" s="68"/>
      <c r="C50" s="10" t="s">
        <v>55</v>
      </c>
      <c r="D50" s="12" t="s">
        <v>184</v>
      </c>
      <c r="E50" s="13">
        <v>431</v>
      </c>
      <c r="F50" s="13">
        <v>427</v>
      </c>
      <c r="G50" s="13">
        <v>427</v>
      </c>
      <c r="H50" s="13">
        <v>656</v>
      </c>
      <c r="I50" s="13"/>
    </row>
    <row r="51" spans="1:9" ht="15" customHeight="1">
      <c r="A51" s="66"/>
      <c r="B51" s="68"/>
      <c r="C51" s="15" t="s">
        <v>17</v>
      </c>
      <c r="D51" s="12" t="s">
        <v>1209</v>
      </c>
      <c r="E51" s="13">
        <v>0</v>
      </c>
      <c r="F51" s="13">
        <v>0</v>
      </c>
      <c r="G51" s="13">
        <v>0</v>
      </c>
      <c r="H51" s="13"/>
      <c r="I51" s="13"/>
    </row>
    <row r="52" spans="1:9" ht="16.5">
      <c r="A52" s="66"/>
      <c r="B52" s="68"/>
      <c r="C52" s="15" t="s">
        <v>36</v>
      </c>
      <c r="D52" s="12" t="s">
        <v>243</v>
      </c>
      <c r="E52" s="13">
        <f>SUM(E53+E56)</f>
        <v>0</v>
      </c>
      <c r="F52" s="13">
        <f>SUM(F53+F56)</f>
        <v>0</v>
      </c>
      <c r="G52" s="13">
        <f>SUM(G53+G56)</f>
        <v>759</v>
      </c>
      <c r="H52" s="13">
        <f>SUM(H53+H56)</f>
        <v>0</v>
      </c>
      <c r="I52" s="13">
        <f>SUM(I53+I56)</f>
        <v>2806</v>
      </c>
    </row>
    <row r="53" spans="1:19" s="52" customFormat="1" ht="16.5">
      <c r="A53" s="174"/>
      <c r="B53" s="175"/>
      <c r="C53" s="51" t="s">
        <v>124</v>
      </c>
      <c r="D53" s="47" t="s">
        <v>244</v>
      </c>
      <c r="E53" s="48">
        <f>SUM(E54:E55)</f>
        <v>0</v>
      </c>
      <c r="F53" s="48"/>
      <c r="G53" s="48">
        <f>SUM(G54:G55)</f>
        <v>499</v>
      </c>
      <c r="H53" s="48">
        <f>SUM(H54:H55)</f>
        <v>0</v>
      </c>
      <c r="I53" s="48">
        <f>SUM(I54:I55)</f>
        <v>2806</v>
      </c>
      <c r="S53" s="264"/>
    </row>
    <row r="54" spans="1:9" ht="16.5" customHeight="1">
      <c r="A54" s="66"/>
      <c r="B54" s="68"/>
      <c r="C54" s="10" t="s">
        <v>72</v>
      </c>
      <c r="D54" s="12" t="s">
        <v>310</v>
      </c>
      <c r="E54" s="13"/>
      <c r="F54" s="13"/>
      <c r="G54" s="13"/>
      <c r="H54" s="13"/>
      <c r="I54" s="13"/>
    </row>
    <row r="55" spans="1:9" ht="16.5">
      <c r="A55" s="66"/>
      <c r="B55" s="68"/>
      <c r="C55" s="10" t="s">
        <v>1464</v>
      </c>
      <c r="D55" s="12" t="s">
        <v>246</v>
      </c>
      <c r="E55" s="13"/>
      <c r="F55" s="13"/>
      <c r="G55" s="13">
        <v>499</v>
      </c>
      <c r="H55" s="13">
        <v>0</v>
      </c>
      <c r="I55" s="13">
        <v>2806</v>
      </c>
    </row>
    <row r="56" spans="1:9" ht="16.5">
      <c r="A56" s="66"/>
      <c r="B56" s="68"/>
      <c r="C56" s="10" t="s">
        <v>125</v>
      </c>
      <c r="D56" s="12" t="s">
        <v>247</v>
      </c>
      <c r="E56" s="13"/>
      <c r="F56" s="13"/>
      <c r="G56" s="13">
        <v>260</v>
      </c>
      <c r="H56" s="13">
        <v>0</v>
      </c>
      <c r="I56" s="13"/>
    </row>
    <row r="57" spans="1:9" ht="16.5">
      <c r="A57" s="66"/>
      <c r="B57" s="68"/>
      <c r="C57" s="10"/>
      <c r="D57" s="69" t="s">
        <v>248</v>
      </c>
      <c r="E57" s="41">
        <f>SUM(E48+E52+E51)</f>
        <v>2585</v>
      </c>
      <c r="F57" s="41">
        <f>SUM(F48+F52+F51)</f>
        <v>3074</v>
      </c>
      <c r="G57" s="41">
        <f>SUM(G48+G52+G51)</f>
        <v>3833</v>
      </c>
      <c r="H57" s="41">
        <f>SUM(H48+H52+H51)</f>
        <v>3934</v>
      </c>
      <c r="I57" s="41">
        <f>SUM(I48+I52+I51)</f>
        <v>7006</v>
      </c>
    </row>
    <row r="58" spans="1:9" ht="16.5">
      <c r="A58" s="66"/>
      <c r="B58" s="65" t="s">
        <v>19</v>
      </c>
      <c r="C58" s="11"/>
      <c r="D58" s="1128" t="s">
        <v>250</v>
      </c>
      <c r="E58" s="1129"/>
      <c r="F58" s="1129"/>
      <c r="G58" s="1129"/>
      <c r="H58" s="1129"/>
      <c r="I58" s="1136"/>
    </row>
    <row r="59" spans="1:9" ht="16.5">
      <c r="A59" s="66"/>
      <c r="B59" s="68"/>
      <c r="C59" s="11" t="s">
        <v>20</v>
      </c>
      <c r="D59" s="12" t="s">
        <v>251</v>
      </c>
      <c r="E59" s="13">
        <v>1962</v>
      </c>
      <c r="F59" s="13">
        <v>2295</v>
      </c>
      <c r="G59" s="13">
        <v>2363</v>
      </c>
      <c r="H59" s="13">
        <v>2499</v>
      </c>
      <c r="I59" s="13">
        <v>2233</v>
      </c>
    </row>
    <row r="60" spans="1:9" ht="16.5">
      <c r="A60" s="66"/>
      <c r="B60" s="68"/>
      <c r="C60" s="11" t="s">
        <v>44</v>
      </c>
      <c r="D60" s="12" t="s">
        <v>35</v>
      </c>
      <c r="E60" s="13">
        <v>587</v>
      </c>
      <c r="F60" s="13">
        <v>699</v>
      </c>
      <c r="G60" s="13">
        <v>721</v>
      </c>
      <c r="H60" s="13">
        <v>719</v>
      </c>
      <c r="I60" s="13">
        <v>610</v>
      </c>
    </row>
    <row r="61" spans="1:9" ht="16.5">
      <c r="A61" s="66"/>
      <c r="B61" s="68"/>
      <c r="C61" s="11" t="s">
        <v>45</v>
      </c>
      <c r="D61" s="12" t="s">
        <v>253</v>
      </c>
      <c r="E61" s="13">
        <v>36</v>
      </c>
      <c r="F61" s="13">
        <v>80</v>
      </c>
      <c r="G61" s="13">
        <v>489</v>
      </c>
      <c r="H61" s="13">
        <v>716</v>
      </c>
      <c r="I61" s="13">
        <v>4163</v>
      </c>
    </row>
    <row r="62" spans="1:9" ht="16.5">
      <c r="A62" s="66"/>
      <c r="B62" s="68"/>
      <c r="C62" s="11" t="s">
        <v>49</v>
      </c>
      <c r="D62" s="12" t="s">
        <v>256</v>
      </c>
      <c r="E62" s="13"/>
      <c r="F62" s="13"/>
      <c r="G62" s="13"/>
      <c r="H62" s="13"/>
      <c r="I62" s="13"/>
    </row>
    <row r="63" spans="1:9" ht="16.5">
      <c r="A63" s="66"/>
      <c r="B63" s="68"/>
      <c r="C63" s="11" t="s">
        <v>50</v>
      </c>
      <c r="D63" s="12" t="s">
        <v>257</v>
      </c>
      <c r="E63" s="13"/>
      <c r="F63" s="13"/>
      <c r="G63" s="13">
        <v>260</v>
      </c>
      <c r="H63" s="13">
        <v>0</v>
      </c>
      <c r="I63" s="13"/>
    </row>
    <row r="64" spans="1:9" ht="16.5">
      <c r="A64" s="66"/>
      <c r="B64" s="68"/>
      <c r="C64" s="11" t="s">
        <v>51</v>
      </c>
      <c r="D64" s="12" t="s">
        <v>260</v>
      </c>
      <c r="E64" s="13"/>
      <c r="F64" s="13"/>
      <c r="G64" s="13"/>
      <c r="H64" s="13"/>
      <c r="I64" s="13"/>
    </row>
    <row r="65" spans="1:9" ht="16.5">
      <c r="A65" s="66"/>
      <c r="B65" s="68"/>
      <c r="C65" s="11"/>
      <c r="D65" s="72" t="s">
        <v>261</v>
      </c>
      <c r="E65" s="41">
        <f>SUM(E59:E64)</f>
        <v>2585</v>
      </c>
      <c r="F65" s="41">
        <f>SUM(F59:F64)</f>
        <v>3074</v>
      </c>
      <c r="G65" s="41">
        <f>SUM(G59:G64)</f>
        <v>3833</v>
      </c>
      <c r="H65" s="41">
        <f>SUM(H59:H64)</f>
        <v>3934</v>
      </c>
      <c r="I65" s="41">
        <f>SUM(I59:I64)</f>
        <v>7006</v>
      </c>
    </row>
    <row r="66" spans="1:9" ht="16.5">
      <c r="A66" s="66"/>
      <c r="B66" s="65" t="s">
        <v>22</v>
      </c>
      <c r="C66" s="16"/>
      <c r="D66" s="75" t="s">
        <v>266</v>
      </c>
      <c r="E66" s="76">
        <v>1</v>
      </c>
      <c r="F66" s="76">
        <v>1</v>
      </c>
      <c r="G66" s="76">
        <v>1</v>
      </c>
      <c r="H66" s="76">
        <v>1</v>
      </c>
      <c r="I66" s="76">
        <v>1</v>
      </c>
    </row>
    <row r="67" spans="1:9" ht="17.25">
      <c r="A67" s="33"/>
      <c r="B67" s="65"/>
      <c r="C67" s="15"/>
      <c r="D67" s="86" t="s">
        <v>486</v>
      </c>
      <c r="E67" s="87"/>
      <c r="F67" s="87"/>
      <c r="G67" s="87"/>
      <c r="H67" s="87"/>
      <c r="I67" s="1202"/>
    </row>
    <row r="68" spans="1:9" ht="16.5">
      <c r="A68" s="66"/>
      <c r="B68" s="65" t="s">
        <v>14</v>
      </c>
      <c r="C68" s="10"/>
      <c r="D68" s="1128" t="s">
        <v>240</v>
      </c>
      <c r="E68" s="1129"/>
      <c r="F68" s="1129"/>
      <c r="G68" s="1129"/>
      <c r="H68" s="1129"/>
      <c r="I68" s="1136"/>
    </row>
    <row r="69" spans="1:9" ht="16.5">
      <c r="A69" s="66"/>
      <c r="B69" s="68"/>
      <c r="C69" s="15" t="s">
        <v>16</v>
      </c>
      <c r="D69" s="12" t="s">
        <v>623</v>
      </c>
      <c r="E69" s="13"/>
      <c r="F69" s="13"/>
      <c r="G69" s="13"/>
      <c r="H69" s="49"/>
      <c r="I69" s="13">
        <v>0</v>
      </c>
    </row>
    <row r="70" spans="1:9" ht="15" customHeight="1">
      <c r="A70" s="66"/>
      <c r="B70" s="68"/>
      <c r="C70" s="15" t="s">
        <v>17</v>
      </c>
      <c r="D70" s="12" t="s">
        <v>1209</v>
      </c>
      <c r="E70" s="13">
        <v>0</v>
      </c>
      <c r="F70" s="13">
        <v>0</v>
      </c>
      <c r="G70" s="13">
        <v>0</v>
      </c>
      <c r="H70" s="49"/>
      <c r="I70" s="13">
        <v>0</v>
      </c>
    </row>
    <row r="71" spans="1:9" ht="16.5">
      <c r="A71" s="66"/>
      <c r="B71" s="68"/>
      <c r="C71" s="15" t="s">
        <v>36</v>
      </c>
      <c r="D71" s="12" t="s">
        <v>243</v>
      </c>
      <c r="E71" s="13">
        <f>SUM(E72+E75)</f>
        <v>11898</v>
      </c>
      <c r="F71" s="13">
        <f>SUM(F72+F75)</f>
        <v>13011</v>
      </c>
      <c r="G71" s="13">
        <f>SUM(G72+G75)</f>
        <v>13387</v>
      </c>
      <c r="H71" s="49">
        <f>SUM(H72+H75)</f>
        <v>0</v>
      </c>
      <c r="I71" s="13">
        <f>SUM(I72+I75)</f>
        <v>13206</v>
      </c>
    </row>
    <row r="72" spans="1:19" s="52" customFormat="1" ht="16.5">
      <c r="A72" s="174"/>
      <c r="B72" s="175"/>
      <c r="C72" s="51" t="s">
        <v>124</v>
      </c>
      <c r="D72" s="47" t="s">
        <v>244</v>
      </c>
      <c r="E72" s="48">
        <f>SUM(E73:E74)</f>
        <v>11898</v>
      </c>
      <c r="F72" s="48">
        <f>SUM(F73:F74)</f>
        <v>13011</v>
      </c>
      <c r="G72" s="48">
        <f>SUM(G73:G74)</f>
        <v>13387</v>
      </c>
      <c r="H72" s="169">
        <f>SUM(H73:H74)</f>
        <v>0</v>
      </c>
      <c r="I72" s="48">
        <f>SUM(I73:I74)</f>
        <v>13206</v>
      </c>
      <c r="S72" s="264"/>
    </row>
    <row r="73" spans="1:9" ht="16.5">
      <c r="A73" s="66"/>
      <c r="B73" s="68"/>
      <c r="C73" s="10" t="s">
        <v>72</v>
      </c>
      <c r="D73" s="12" t="s">
        <v>307</v>
      </c>
      <c r="E73" s="13">
        <v>10776</v>
      </c>
      <c r="F73" s="13">
        <v>10236</v>
      </c>
      <c r="G73" s="13">
        <v>10236</v>
      </c>
      <c r="H73" s="49">
        <v>0</v>
      </c>
      <c r="I73" s="13">
        <v>10560</v>
      </c>
    </row>
    <row r="74" spans="1:9" ht="16.5">
      <c r="A74" s="66"/>
      <c r="B74" s="68"/>
      <c r="C74" s="10" t="s">
        <v>1464</v>
      </c>
      <c r="D74" s="12" t="s">
        <v>246</v>
      </c>
      <c r="E74" s="13">
        <v>1122</v>
      </c>
      <c r="F74" s="13">
        <v>2775</v>
      </c>
      <c r="G74" s="13">
        <v>3151</v>
      </c>
      <c r="H74" s="49">
        <v>0</v>
      </c>
      <c r="I74" s="13">
        <v>2646</v>
      </c>
    </row>
    <row r="75" spans="1:9" ht="16.5">
      <c r="A75" s="66"/>
      <c r="B75" s="68"/>
      <c r="C75" s="10" t="s">
        <v>125</v>
      </c>
      <c r="D75" s="12" t="s">
        <v>247</v>
      </c>
      <c r="E75" s="13"/>
      <c r="F75" s="13"/>
      <c r="G75" s="13"/>
      <c r="H75" s="49"/>
      <c r="I75" s="13"/>
    </row>
    <row r="76" spans="1:9" ht="16.5">
      <c r="A76" s="66"/>
      <c r="B76" s="68"/>
      <c r="C76" s="10"/>
      <c r="D76" s="69" t="s">
        <v>248</v>
      </c>
      <c r="E76" s="41">
        <f>SUM(E69+E71+E70)</f>
        <v>11898</v>
      </c>
      <c r="F76" s="41">
        <f>SUM(F69+F71+F70)</f>
        <v>13011</v>
      </c>
      <c r="G76" s="41">
        <f>SUM(G69+G71+G70)</f>
        <v>13387</v>
      </c>
      <c r="H76" s="258">
        <f>SUM(H69+H71+H70)</f>
        <v>0</v>
      </c>
      <c r="I76" s="41">
        <f>SUM(I69+I71+I70)</f>
        <v>13206</v>
      </c>
    </row>
    <row r="77" spans="1:9" ht="16.5">
      <c r="A77" s="66"/>
      <c r="B77" s="65" t="s">
        <v>19</v>
      </c>
      <c r="C77" s="11"/>
      <c r="D77" s="1128" t="s">
        <v>250</v>
      </c>
      <c r="E77" s="1129"/>
      <c r="F77" s="1129"/>
      <c r="G77" s="1129"/>
      <c r="H77" s="1129"/>
      <c r="I77" s="1136"/>
    </row>
    <row r="78" spans="1:9" ht="16.5">
      <c r="A78" s="66"/>
      <c r="B78" s="68"/>
      <c r="C78" s="11" t="s">
        <v>20</v>
      </c>
      <c r="D78" s="12" t="s">
        <v>251</v>
      </c>
      <c r="E78" s="13">
        <v>7165</v>
      </c>
      <c r="F78" s="13">
        <v>8560</v>
      </c>
      <c r="G78" s="13">
        <v>8845</v>
      </c>
      <c r="H78" s="49">
        <v>0</v>
      </c>
      <c r="I78" s="13">
        <v>9065</v>
      </c>
    </row>
    <row r="79" spans="1:9" ht="16.5">
      <c r="A79" s="66"/>
      <c r="B79" s="68"/>
      <c r="C79" s="11" t="s">
        <v>44</v>
      </c>
      <c r="D79" s="12" t="s">
        <v>35</v>
      </c>
      <c r="E79" s="13">
        <v>2274</v>
      </c>
      <c r="F79" s="13">
        <v>2699</v>
      </c>
      <c r="G79" s="13">
        <v>2790</v>
      </c>
      <c r="H79" s="49">
        <v>0</v>
      </c>
      <c r="I79" s="13">
        <v>2475</v>
      </c>
    </row>
    <row r="80" spans="1:9" ht="16.5">
      <c r="A80" s="66"/>
      <c r="B80" s="68"/>
      <c r="C80" s="11" t="s">
        <v>45</v>
      </c>
      <c r="D80" s="12" t="s">
        <v>253</v>
      </c>
      <c r="E80" s="13">
        <v>2459</v>
      </c>
      <c r="F80" s="13">
        <v>1752</v>
      </c>
      <c r="G80" s="13">
        <v>1752</v>
      </c>
      <c r="H80" s="49">
        <v>0</v>
      </c>
      <c r="I80" s="13">
        <v>1666</v>
      </c>
    </row>
    <row r="81" spans="1:9" ht="16.5">
      <c r="A81" s="66"/>
      <c r="B81" s="68"/>
      <c r="C81" s="11" t="s">
        <v>49</v>
      </c>
      <c r="D81" s="12" t="s">
        <v>256</v>
      </c>
      <c r="E81" s="13"/>
      <c r="F81" s="13"/>
      <c r="G81" s="13"/>
      <c r="H81" s="49"/>
      <c r="I81" s="13"/>
    </row>
    <row r="82" spans="1:9" ht="16.5">
      <c r="A82" s="66"/>
      <c r="B82" s="68"/>
      <c r="C82" s="11" t="s">
        <v>50</v>
      </c>
      <c r="D82" s="12" t="s">
        <v>257</v>
      </c>
      <c r="E82" s="13"/>
      <c r="F82" s="13"/>
      <c r="G82" s="13"/>
      <c r="H82" s="49"/>
      <c r="I82" s="13"/>
    </row>
    <row r="83" spans="1:9" ht="16.5">
      <c r="A83" s="66"/>
      <c r="B83" s="68"/>
      <c r="C83" s="11" t="s">
        <v>51</v>
      </c>
      <c r="D83" s="12" t="s">
        <v>260</v>
      </c>
      <c r="E83" s="13"/>
      <c r="F83" s="13"/>
      <c r="G83" s="13"/>
      <c r="H83" s="49"/>
      <c r="I83" s="13"/>
    </row>
    <row r="84" spans="1:9" ht="16.5">
      <c r="A84" s="66"/>
      <c r="B84" s="68"/>
      <c r="C84" s="11"/>
      <c r="D84" s="72" t="s">
        <v>261</v>
      </c>
      <c r="E84" s="41">
        <f>SUM(E78:E83)</f>
        <v>11898</v>
      </c>
      <c r="F84" s="41">
        <f>SUM(F78:F83)</f>
        <v>13011</v>
      </c>
      <c r="G84" s="41">
        <f>SUM(G78:G83)</f>
        <v>13387</v>
      </c>
      <c r="H84" s="258">
        <f>SUM(H78:H83)</f>
        <v>0</v>
      </c>
      <c r="I84" s="41">
        <f>SUM(I78:I83)</f>
        <v>13206</v>
      </c>
    </row>
    <row r="85" spans="1:9" ht="16.5">
      <c r="A85" s="66"/>
      <c r="B85" s="65" t="s">
        <v>22</v>
      </c>
      <c r="C85" s="16"/>
      <c r="D85" s="75" t="s">
        <v>266</v>
      </c>
      <c r="E85" s="76">
        <v>3</v>
      </c>
      <c r="F85" s="76">
        <v>3</v>
      </c>
      <c r="G85" s="76">
        <v>3</v>
      </c>
      <c r="H85" s="76">
        <v>0</v>
      </c>
      <c r="I85" s="76">
        <v>3</v>
      </c>
    </row>
    <row r="86" spans="1:15" ht="17.25">
      <c r="A86" s="33"/>
      <c r="B86" s="65"/>
      <c r="C86" s="15"/>
      <c r="D86" s="86" t="s">
        <v>487</v>
      </c>
      <c r="E86" s="87"/>
      <c r="F86" s="87"/>
      <c r="G86" s="87"/>
      <c r="H86" s="87"/>
      <c r="I86" s="1202"/>
      <c r="J86" s="161" t="s">
        <v>589</v>
      </c>
      <c r="K86" s="98" t="s">
        <v>344</v>
      </c>
      <c r="L86" s="98" t="s">
        <v>480</v>
      </c>
      <c r="M86" s="739" t="s">
        <v>1177</v>
      </c>
      <c r="N86" s="740" t="s">
        <v>1139</v>
      </c>
      <c r="O86" s="431" t="s">
        <v>1157</v>
      </c>
    </row>
    <row r="87" spans="1:15" ht="16.5">
      <c r="A87" s="66"/>
      <c r="B87" s="65" t="s">
        <v>14</v>
      </c>
      <c r="C87" s="10"/>
      <c r="D87" s="1128" t="s">
        <v>240</v>
      </c>
      <c r="E87" s="1129"/>
      <c r="F87" s="1129"/>
      <c r="G87" s="1129"/>
      <c r="H87" s="1129"/>
      <c r="I87" s="1136"/>
      <c r="J87" s="12" t="s">
        <v>623</v>
      </c>
      <c r="K87" s="99" t="e">
        <f>SUM(#REF!,#REF!,#REF!,#REF!,#REF!,#REF!,#REF!,#REF!,#REF!,#REF!,#REF!,#REF!,#REF!,#REF!,#REF!,#REF!,#REF!,F2,F27,#REF!,F47,F72,F95,F118)</f>
        <v>#REF!</v>
      </c>
      <c r="L87" s="99">
        <f>SUM(H5+H29+H48+H69+H88+H105)</f>
        <v>10815</v>
      </c>
      <c r="M87" s="99" t="e">
        <f>SUM(#REF!+#REF!+#REF!+#REF!+#REF!+#REF!+#REF!+#REF!)</f>
        <v>#REF!</v>
      </c>
      <c r="N87" s="99">
        <f>SUM(I5+I29+I48+I69+I88+I105+I122+I143)</f>
        <v>19000</v>
      </c>
      <c r="O87" s="99"/>
    </row>
    <row r="88" spans="1:15" ht="16.5">
      <c r="A88" s="66"/>
      <c r="B88" s="68"/>
      <c r="C88" s="15" t="s">
        <v>16</v>
      </c>
      <c r="D88" s="12" t="s">
        <v>623</v>
      </c>
      <c r="E88" s="13"/>
      <c r="F88" s="13"/>
      <c r="G88" s="13">
        <v>2</v>
      </c>
      <c r="H88" s="13">
        <v>0</v>
      </c>
      <c r="I88" s="13"/>
      <c r="J88" s="160" t="s">
        <v>625</v>
      </c>
      <c r="K88" s="25" t="e">
        <f>#REF!+#REF!+#REF!+#REF!+#REF!+#REF!+#REF!+#REF!+#REF!+#REF!+#REF!+#REF!+#REF!+#REF!+#REF!+#REF!+#REF!+E7+E28+#REF!+E53+E77+E100+E119</f>
        <v>#REF!</v>
      </c>
      <c r="L88" s="25">
        <f>SUM(H10+H30+H51+H70+H89+H106)</f>
        <v>0</v>
      </c>
      <c r="M88" s="25" t="e">
        <f>SUM(#REF!+#REF!+#REF!+#REF!+#REF!+#REF!+#REF!+#REF!)</f>
        <v>#REF!</v>
      </c>
      <c r="N88" s="25">
        <f>SUM(I10+I30+I51+I70+I89+I106+I125+I144)</f>
        <v>0</v>
      </c>
      <c r="O88" s="25"/>
    </row>
    <row r="89" spans="1:15" ht="15" customHeight="1">
      <c r="A89" s="66"/>
      <c r="B89" s="68"/>
      <c r="C89" s="15" t="s">
        <v>17</v>
      </c>
      <c r="D89" s="12" t="s">
        <v>1209</v>
      </c>
      <c r="E89" s="13">
        <v>0</v>
      </c>
      <c r="F89" s="13">
        <v>0</v>
      </c>
      <c r="G89" s="13">
        <v>0</v>
      </c>
      <c r="H89" s="13"/>
      <c r="I89" s="13"/>
      <c r="J89" s="12" t="s">
        <v>184</v>
      </c>
      <c r="K89" s="99"/>
      <c r="L89" s="99">
        <f>SUM(H9+H50)</f>
        <v>1803</v>
      </c>
      <c r="M89" s="99" t="e">
        <f>SUM(#REF!+#REF!+#REF!)</f>
        <v>#REF!</v>
      </c>
      <c r="N89" s="99">
        <f>SUM(I9+I50+I124)</f>
        <v>0</v>
      </c>
      <c r="O89" s="99"/>
    </row>
    <row r="90" spans="1:15" ht="16.5">
      <c r="A90" s="66"/>
      <c r="B90" s="68"/>
      <c r="C90" s="15" t="s">
        <v>36</v>
      </c>
      <c r="D90" s="12" t="s">
        <v>243</v>
      </c>
      <c r="E90" s="13">
        <f>SUM(E91+E94)</f>
        <v>27927</v>
      </c>
      <c r="F90" s="13">
        <f>SUM(F91+F94)</f>
        <v>30134</v>
      </c>
      <c r="G90" s="13">
        <f>SUM(G91+G94)</f>
        <v>31732</v>
      </c>
      <c r="H90" s="13">
        <f>SUM(H91+H94)</f>
        <v>28884</v>
      </c>
      <c r="I90" s="13">
        <f>SUM(I91+I94)</f>
        <v>30074</v>
      </c>
      <c r="J90" s="12" t="s">
        <v>243</v>
      </c>
      <c r="K90" s="99" t="e">
        <f>SUM(#REF!,#REF!,#REF!,#REF!,#REF!,#REF!,#REF!,#REF!,#REF!,#REF!,#REF!,#REF!,#REF!,#REF!,#REF!,#REF!,#REF!,E8,E29,#REF!,E54,E78,E101,#REF!,)</f>
        <v>#REF!</v>
      </c>
      <c r="L90" s="99">
        <f>SUM(H11+H31+H52+H71+H90+H107)</f>
        <v>326749</v>
      </c>
      <c r="M90" s="99" t="e">
        <f>SUM(#REF!+#REF!+#REF!+#REF!+#REF!+#REF!+#REF!+#REF!)</f>
        <v>#REF!</v>
      </c>
      <c r="N90" s="99">
        <f>SUM(I11+I31+I52+I71+I90+I107+I126+I145)</f>
        <v>498191</v>
      </c>
      <c r="O90" s="99"/>
    </row>
    <row r="91" spans="1:19" s="52" customFormat="1" ht="16.5">
      <c r="A91" s="174"/>
      <c r="B91" s="175"/>
      <c r="C91" s="51" t="s">
        <v>124</v>
      </c>
      <c r="D91" s="47" t="s">
        <v>244</v>
      </c>
      <c r="E91" s="48">
        <f>SUM(E92:E93)</f>
        <v>27927</v>
      </c>
      <c r="F91" s="48">
        <f>SUM(F92:F93)</f>
        <v>30134</v>
      </c>
      <c r="G91" s="48">
        <f>SUM(G92:G93)</f>
        <v>31732</v>
      </c>
      <c r="H91" s="48">
        <f>SUM(H92:H93)</f>
        <v>28884</v>
      </c>
      <c r="I91" s="48">
        <f>SUM(I92:I93)</f>
        <v>30074</v>
      </c>
      <c r="J91" s="12" t="s">
        <v>244</v>
      </c>
      <c r="K91" s="99" t="e">
        <f>SUM(#REF!,#REF!,#REF!,#REF!,#REF!,#REF!,#REF!,#REF!,#REF!,#REF!,#REF!,#REF!,#REF!,#REF!,#REF!,#REF!,#REF!,E9,#REF!,E55,E79,E102,#REF!,)</f>
        <v>#REF!</v>
      </c>
      <c r="L91" s="99">
        <f>SUM(H12+H32+H53+H72+H91+H108)</f>
        <v>326749</v>
      </c>
      <c r="M91" s="99" t="e">
        <f>SUM(#REF!+#REF!+#REF!+#REF!+#REF!+#REF!+#REF!+#REF!)</f>
        <v>#REF!</v>
      </c>
      <c r="N91" s="99">
        <f>SUM(I12+I32+I53+I72+I91+I108+I127+I146)</f>
        <v>498191</v>
      </c>
      <c r="O91" s="99"/>
      <c r="P91"/>
      <c r="Q91"/>
      <c r="R91"/>
      <c r="S91" s="264"/>
    </row>
    <row r="92" spans="1:15" ht="16.5">
      <c r="A92" s="66"/>
      <c r="B92" s="68"/>
      <c r="C92" s="10" t="s">
        <v>72</v>
      </c>
      <c r="D92" s="12" t="s">
        <v>307</v>
      </c>
      <c r="E92" s="13">
        <v>19835</v>
      </c>
      <c r="F92" s="13">
        <v>20000</v>
      </c>
      <c r="G92" s="13">
        <v>20000</v>
      </c>
      <c r="H92" s="13">
        <v>20000</v>
      </c>
      <c r="I92" s="13">
        <v>20700</v>
      </c>
      <c r="J92" s="12" t="s">
        <v>178</v>
      </c>
      <c r="K92" s="99" t="e">
        <f>SUM(#REF!,#REF!,#REF!,#REF!,#REF!,#REF!,#REF!,#REF!,#REF!,#REF!,#REF!,#REF!,#REF!,#REF!,#REF!,#REF!,#REF!,E10,E31,#REF!,E56,E80,E103,#REF!,)</f>
        <v>#REF!</v>
      </c>
      <c r="L92" s="99">
        <f>SUM(H13+H33+H54+H73+H92+H109)</f>
        <v>308410</v>
      </c>
      <c r="M92" s="99" t="e">
        <f>SUM(#REF!+#REF!+#REF!+#REF!+#REF!+#REF!+#REF!+#REF!)</f>
        <v>#REF!</v>
      </c>
      <c r="N92" s="99">
        <f>SUM(I13+I33+I54+I73+I92+I109+I128+I147)</f>
        <v>444941</v>
      </c>
      <c r="O92" s="99"/>
    </row>
    <row r="93" spans="1:17" ht="16.5">
      <c r="A93" s="66"/>
      <c r="B93" s="68"/>
      <c r="C93" s="10" t="s">
        <v>1464</v>
      </c>
      <c r="D93" s="12" t="s">
        <v>246</v>
      </c>
      <c r="E93" s="13">
        <v>8092</v>
      </c>
      <c r="F93" s="13">
        <v>10134</v>
      </c>
      <c r="G93" s="13">
        <v>11732</v>
      </c>
      <c r="H93" s="13">
        <v>8884</v>
      </c>
      <c r="I93" s="13">
        <v>9374</v>
      </c>
      <c r="J93" s="12" t="s">
        <v>246</v>
      </c>
      <c r="K93" s="99" t="e">
        <f>SUM(#REF!,#REF!,#REF!,#REF!,#REF!,#REF!,#REF!,#REF!,#REF!,#REF!,#REF!,#REF!,#REF!,#REF!,#REF!,#REF!,#REF!,E11,E32,#REF!,E57,E81,E104,E163)</f>
        <v>#REF!</v>
      </c>
      <c r="L93" s="99">
        <f>SUM(H14+H34+H55+H74+H93+H110)</f>
        <v>18339</v>
      </c>
      <c r="M93" s="445" t="e">
        <f>SUM(#REF!+#REF!+#REF!+#REF!+#REF!+#REF!+#REF!+#REF!)</f>
        <v>#REF!</v>
      </c>
      <c r="N93" s="445">
        <f>SUM(I14+I34+I55+I74+I93+I110+I129+I148)</f>
        <v>53250</v>
      </c>
      <c r="O93" s="445"/>
      <c r="P93" s="25"/>
      <c r="Q93" s="25" t="e">
        <f>SUM(M93:M94)</f>
        <v>#REF!</v>
      </c>
    </row>
    <row r="94" spans="1:18" ht="16.5">
      <c r="A94" s="66"/>
      <c r="B94" s="68"/>
      <c r="C94" s="10" t="s">
        <v>125</v>
      </c>
      <c r="D94" s="12" t="s">
        <v>247</v>
      </c>
      <c r="E94" s="13"/>
      <c r="F94" s="13"/>
      <c r="G94" s="13"/>
      <c r="H94" s="13">
        <v>0</v>
      </c>
      <c r="I94" s="13"/>
      <c r="J94" s="12" t="s">
        <v>247</v>
      </c>
      <c r="K94" s="99" t="e">
        <f>SUM(#REF!,#REF!,#REF!,#REF!,#REF!,#REF!,#REF!,#REF!,#REF!,#REF!,#REF!,#REF!,#REF!,#REF!,#REF!,#REF!,E12,E33,#REF!,E59,E82,E105,E164,)</f>
        <v>#REF!</v>
      </c>
      <c r="L94" s="99">
        <f>SUM(H15+H35+H56+H75+H94+H111)</f>
        <v>0</v>
      </c>
      <c r="M94" s="445" t="e">
        <f>SUM(#REF!+#REF!+#REF!+#REF!+#REF!+#REF!+#REF!+#REF!)</f>
        <v>#REF!</v>
      </c>
      <c r="N94" s="445">
        <f>SUM(I15+I35+I56+I75+I94+I111+I130+I149)</f>
        <v>0</v>
      </c>
      <c r="O94" s="445"/>
      <c r="R94" s="25" t="e">
        <f>SUM(M92:M93)</f>
        <v>#REF!</v>
      </c>
    </row>
    <row r="95" spans="1:15" ht="16.5">
      <c r="A95" s="66"/>
      <c r="B95" s="68"/>
      <c r="C95" s="10"/>
      <c r="D95" s="69" t="s">
        <v>248</v>
      </c>
      <c r="E95" s="41">
        <f>SUM(E88+E90+E89)</f>
        <v>27927</v>
      </c>
      <c r="F95" s="41">
        <f>SUM(F88+F90+F89)</f>
        <v>30134</v>
      </c>
      <c r="G95" s="41">
        <f>SUM(G88+G90+G89)</f>
        <v>31734</v>
      </c>
      <c r="H95" s="41">
        <f>SUM(H88+H90+H89)</f>
        <v>28884</v>
      </c>
      <c r="I95" s="41">
        <f>SUM(I88+I90+I89)</f>
        <v>30074</v>
      </c>
      <c r="J95" s="17" t="s">
        <v>1112</v>
      </c>
      <c r="K95" s="99"/>
      <c r="L95" s="99"/>
      <c r="M95" s="99"/>
      <c r="N95" s="99"/>
      <c r="O95" s="99"/>
    </row>
    <row r="96" spans="1:16" ht="16.5">
      <c r="A96" s="66"/>
      <c r="B96" s="65" t="s">
        <v>19</v>
      </c>
      <c r="C96" s="11"/>
      <c r="D96" s="1128" t="s">
        <v>250</v>
      </c>
      <c r="E96" s="1129"/>
      <c r="F96" s="1129"/>
      <c r="G96" s="1129"/>
      <c r="H96" s="1129"/>
      <c r="I96" s="1136"/>
      <c r="J96" s="69" t="s">
        <v>248</v>
      </c>
      <c r="K96" s="102" t="e">
        <f>SUM(K87:K90)</f>
        <v>#REF!</v>
      </c>
      <c r="L96" s="102">
        <f>SUM(L87+L88+L90)</f>
        <v>337564</v>
      </c>
      <c r="M96" s="102" t="e">
        <f>SUM(M87+M88+M90)</f>
        <v>#REF!</v>
      </c>
      <c r="N96" s="102">
        <f>SUM(N87+N88+N90)</f>
        <v>517191</v>
      </c>
      <c r="O96" s="102"/>
      <c r="P96" s="25"/>
    </row>
    <row r="97" spans="1:15" ht="16.5">
      <c r="A97" s="66"/>
      <c r="B97" s="68"/>
      <c r="C97" s="11" t="s">
        <v>20</v>
      </c>
      <c r="D97" s="12" t="s">
        <v>251</v>
      </c>
      <c r="E97" s="13">
        <v>17861</v>
      </c>
      <c r="F97" s="13">
        <v>18148</v>
      </c>
      <c r="G97" s="13">
        <v>19341</v>
      </c>
      <c r="H97" s="13">
        <v>17173</v>
      </c>
      <c r="I97" s="13">
        <v>19408</v>
      </c>
      <c r="J97" s="75" t="s">
        <v>250</v>
      </c>
      <c r="K97" s="99"/>
      <c r="L97" s="99"/>
      <c r="M97" s="445"/>
      <c r="N97" s="445"/>
      <c r="O97" s="445"/>
    </row>
    <row r="98" spans="1:19" ht="16.5">
      <c r="A98" s="66"/>
      <c r="B98" s="68"/>
      <c r="C98" s="11" t="s">
        <v>44</v>
      </c>
      <c r="D98" s="12" t="s">
        <v>35</v>
      </c>
      <c r="E98" s="13">
        <v>5645</v>
      </c>
      <c r="F98" s="13">
        <v>5679</v>
      </c>
      <c r="G98" s="13">
        <v>6008</v>
      </c>
      <c r="H98" s="13">
        <v>5372</v>
      </c>
      <c r="I98" s="13">
        <v>5298</v>
      </c>
      <c r="J98" s="17" t="s">
        <v>251</v>
      </c>
      <c r="K98" s="196" t="e">
        <f>SUM(E167+E108+E85+E62+#REF!+E36+E15+#REF!+#REF!+#REF!+#REF!+#REF!+#REF!+#REF!+#REF!+#REF!+#REF!+#REF!+#REF!+#REF!+#REF!+#REF!+#REF!+#REF!+#REF!+#REF!+#REF!+#REF!+#REF!+#REF!+#REF!+#REF!+#REF!+#REF!+#REF!+#REF!+#REF!+#REF!+#REF!+#REF!+#REF!+#REF!+#REF!+#REF!+#REF!+#REF!)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L98" s="196">
        <f>SUM(H19+H38+H59+H78+H97+H114)</f>
        <v>132408</v>
      </c>
      <c r="M98" s="196" t="e">
        <f>SUM(#REF!+#REF!+#REF!+#REF!+#REF!+#REF!+#REF!+#REF!)</f>
        <v>#REF!</v>
      </c>
      <c r="N98" s="196">
        <f>SUM(I19+I38+I59+I78+I97+I114+I133+I152)</f>
        <v>142708</v>
      </c>
      <c r="O98" s="196"/>
      <c r="Q98" s="25" t="e">
        <f>SUM(M98:M100)</f>
        <v>#REF!</v>
      </c>
      <c r="R98" s="25">
        <f>SUM(N98:N100)</f>
        <v>517191</v>
      </c>
      <c r="S98" s="25">
        <f>SUM(O98:O100)</f>
        <v>0</v>
      </c>
    </row>
    <row r="99" spans="1:15" ht="16.5">
      <c r="A99" s="66"/>
      <c r="B99" s="68"/>
      <c r="C99" s="11" t="s">
        <v>45</v>
      </c>
      <c r="D99" s="12" t="s">
        <v>253</v>
      </c>
      <c r="E99" s="13">
        <v>4421</v>
      </c>
      <c r="F99" s="13">
        <v>6307</v>
      </c>
      <c r="G99" s="13">
        <v>6385</v>
      </c>
      <c r="H99" s="13">
        <v>6339</v>
      </c>
      <c r="I99" s="13">
        <v>5368</v>
      </c>
      <c r="J99" s="17" t="s">
        <v>35</v>
      </c>
      <c r="K99" s="99"/>
      <c r="L99" s="99">
        <f>SUM(H20+H39+H60+H79+H98+H115)</f>
        <v>40789</v>
      </c>
      <c r="M99" s="99" t="e">
        <f>SUM(#REF!+#REF!+#REF!+#REF!+#REF!+#REF!+#REF!+#REF!)</f>
        <v>#REF!</v>
      </c>
      <c r="N99" s="99">
        <f>SUM(I20+I39+I60+I79+I98+I115+I134+I153)</f>
        <v>38960</v>
      </c>
      <c r="O99" s="99"/>
    </row>
    <row r="100" spans="1:15" ht="16.5">
      <c r="A100" s="66"/>
      <c r="B100" s="68"/>
      <c r="C100" s="11" t="s">
        <v>49</v>
      </c>
      <c r="D100" s="12" t="s">
        <v>257</v>
      </c>
      <c r="E100" s="13"/>
      <c r="F100" s="13"/>
      <c r="G100" s="13"/>
      <c r="H100" s="13"/>
      <c r="I100" s="13"/>
      <c r="J100" s="17" t="s">
        <v>253</v>
      </c>
      <c r="K100" s="99"/>
      <c r="L100" s="99">
        <f>SUM(H116+H99+H80+H61+H40+H21)</f>
        <v>164367</v>
      </c>
      <c r="M100" s="99" t="e">
        <f>SUM(#REF!+#REF!+#REF!+#REF!+#REF!+#REF!+#REF!+#REF!)</f>
        <v>#REF!</v>
      </c>
      <c r="N100" s="99">
        <f>SUM(I116+I99+I80+I61+I40+I21+I135+I154)</f>
        <v>335523</v>
      </c>
      <c r="O100" s="99"/>
    </row>
    <row r="101" spans="1:15" ht="16.5">
      <c r="A101" s="66"/>
      <c r="B101" s="68"/>
      <c r="C101" s="11"/>
      <c r="D101" s="72" t="s">
        <v>261</v>
      </c>
      <c r="E101" s="41">
        <f>SUM(E97:E100)</f>
        <v>27927</v>
      </c>
      <c r="F101" s="41">
        <f>SUM(F97:F100)</f>
        <v>30134</v>
      </c>
      <c r="G101" s="41">
        <f>SUM(G97:G100)</f>
        <v>31734</v>
      </c>
      <c r="H101" s="41">
        <f>SUM(H97:H100)</f>
        <v>28884</v>
      </c>
      <c r="I101" s="41">
        <f>SUM(I97:I100)</f>
        <v>30074</v>
      </c>
      <c r="J101" s="17" t="s">
        <v>256</v>
      </c>
      <c r="K101" s="196" t="e">
        <f>SUM(#REF!,#REF!,#REF!,#REF!,#REF!,#REF!,#REF!,#REF!,#REF!,#REF!,#REF!,#REF!,#REF!,#REF!,E19,E39,#REF!,E65,E88,E111,E171,#REF!)</f>
        <v>#REF!</v>
      </c>
      <c r="L101" s="196">
        <f>SUM(H22+H41+H62+H81)</f>
        <v>0</v>
      </c>
      <c r="M101" s="196" t="e">
        <f>SUM(#REF!+#REF!+#REF!+#REF!+#REF!+#REF!)</f>
        <v>#REF!</v>
      </c>
      <c r="N101" s="196">
        <f>SUM(I22+I41+I62+I81+I136+I155)</f>
        <v>0</v>
      </c>
      <c r="O101" s="196"/>
    </row>
    <row r="102" spans="1:15" ht="16.5">
      <c r="A102" s="66"/>
      <c r="B102" s="65" t="s">
        <v>22</v>
      </c>
      <c r="C102" s="16"/>
      <c r="D102" s="75" t="s">
        <v>266</v>
      </c>
      <c r="E102" s="85">
        <v>7.5</v>
      </c>
      <c r="F102" s="85">
        <v>7.5</v>
      </c>
      <c r="G102" s="85">
        <v>7.5</v>
      </c>
      <c r="H102" s="85">
        <v>7</v>
      </c>
      <c r="I102" s="85">
        <v>7</v>
      </c>
      <c r="J102" s="17" t="s">
        <v>257</v>
      </c>
      <c r="K102" s="196" t="e">
        <f>SUM(#REF!,#REF!,#REF!,#REF!,#REF!,#REF!,#REF!,#REF!,#REF!,#REF!,#REF!,#REF!,#REF!,#REF!,E20,E40,#REF!,E66,E89,E112,E160,#REF!)</f>
        <v>#REF!</v>
      </c>
      <c r="L102" s="196">
        <f>SUM(H117+H100+H82+H63+H42+H23)</f>
        <v>0</v>
      </c>
      <c r="M102" s="196" t="e">
        <f>SUM(#REF!+#REF!+#REF!+#REF!+#REF!+#REF!+#REF!+#REF!)</f>
        <v>#REF!</v>
      </c>
      <c r="N102" s="196">
        <f>SUM(I117+I100+I82+I63+I42+I23+I137+I156)</f>
        <v>0</v>
      </c>
      <c r="O102" s="196"/>
    </row>
    <row r="103" spans="1:15" ht="17.25">
      <c r="A103" s="33"/>
      <c r="B103" s="65"/>
      <c r="C103" s="15"/>
      <c r="D103" s="86" t="s">
        <v>168</v>
      </c>
      <c r="E103" s="87"/>
      <c r="F103" s="87"/>
      <c r="G103" s="87"/>
      <c r="H103" s="87"/>
      <c r="I103" s="1202"/>
      <c r="J103" s="17" t="s">
        <v>507</v>
      </c>
      <c r="K103" s="196" t="e">
        <f>SUM(#REF!,#REF!,#REF!,#REF!,#REF!,#REF!,#REF!,#REF!,#REF!,#REF!,#REF!,#REF!,#REF!,#REF!,E21,E42,#REF!,E67,E90,E113,E161,#REF!)</f>
        <v>#REF!</v>
      </c>
      <c r="L103" s="196"/>
      <c r="M103" s="196" t="e">
        <f>#REF!+#REF!+#REF!+#REF!+#REF!+#REF!</f>
        <v>#REF!</v>
      </c>
      <c r="N103" s="196">
        <f>I24+I43+I64+I83+I138+I157</f>
        <v>0</v>
      </c>
      <c r="O103" s="196"/>
    </row>
    <row r="104" spans="1:15" ht="16.5">
      <c r="A104" s="66"/>
      <c r="B104" s="65" t="s">
        <v>14</v>
      </c>
      <c r="C104" s="10"/>
      <c r="D104" s="1128" t="s">
        <v>240</v>
      </c>
      <c r="E104" s="1129"/>
      <c r="F104" s="1129"/>
      <c r="G104" s="1129"/>
      <c r="H104" s="1129"/>
      <c r="I104" s="1136"/>
      <c r="J104" s="72" t="s">
        <v>482</v>
      </c>
      <c r="K104" s="109" t="e">
        <f>SUM(K98,#REF!,#REF!,#REF!,K101,K102,K103,)</f>
        <v>#REF!</v>
      </c>
      <c r="L104" s="109"/>
      <c r="M104" s="109"/>
      <c r="N104" s="109"/>
      <c r="O104" s="109"/>
    </row>
    <row r="105" spans="1:15" ht="16.5">
      <c r="A105" s="66"/>
      <c r="B105" s="68"/>
      <c r="C105" s="15" t="s">
        <v>16</v>
      </c>
      <c r="D105" s="12" t="s">
        <v>623</v>
      </c>
      <c r="E105" s="13"/>
      <c r="F105" s="13"/>
      <c r="G105" s="13">
        <v>2</v>
      </c>
      <c r="H105" s="49">
        <v>0</v>
      </c>
      <c r="I105" s="13">
        <v>1800</v>
      </c>
      <c r="J105" s="72" t="s">
        <v>261</v>
      </c>
      <c r="K105" s="109" t="e">
        <f>SUM(K99,#REF!,#REF!,#REF!,K102,K103,K104,)</f>
        <v>#REF!</v>
      </c>
      <c r="L105" s="109">
        <f>SUM(L98:L104)</f>
        <v>337564</v>
      </c>
      <c r="M105" s="109" t="e">
        <f>SUM(M98:M104)</f>
        <v>#REF!</v>
      </c>
      <c r="N105" s="109">
        <f>SUM(N98:N104)</f>
        <v>517191</v>
      </c>
      <c r="O105" s="109"/>
    </row>
    <row r="106" spans="1:15" ht="16.5">
      <c r="A106" s="66"/>
      <c r="B106" s="68"/>
      <c r="C106" s="15" t="s">
        <v>17</v>
      </c>
      <c r="D106" s="12" t="s">
        <v>1209</v>
      </c>
      <c r="E106" s="13">
        <v>0</v>
      </c>
      <c r="F106" s="13">
        <v>0</v>
      </c>
      <c r="G106" s="13">
        <v>0</v>
      </c>
      <c r="H106" s="49"/>
      <c r="I106" s="13"/>
      <c r="J106" s="433" t="s">
        <v>7</v>
      </c>
      <c r="L106" s="25">
        <f>SUM(H162)</f>
        <v>69</v>
      </c>
      <c r="M106" s="25" t="e">
        <f>SUM(#REF!)</f>
        <v>#REF!</v>
      </c>
      <c r="N106" s="25">
        <f>SUM(I162)</f>
        <v>73</v>
      </c>
      <c r="O106" s="25"/>
    </row>
    <row r="107" spans="1:15" ht="16.5">
      <c r="A107" s="66"/>
      <c r="B107" s="68"/>
      <c r="C107" s="15" t="s">
        <v>36</v>
      </c>
      <c r="D107" s="12" t="s">
        <v>243</v>
      </c>
      <c r="E107" s="13">
        <f>SUM(E108+E111)</f>
        <v>27927</v>
      </c>
      <c r="F107" s="13">
        <f>SUM(F108+F111)</f>
        <v>30134</v>
      </c>
      <c r="G107" s="13">
        <f>SUM(G108+G111)</f>
        <v>31732</v>
      </c>
      <c r="H107" s="49">
        <f>SUM(H108+H111)</f>
        <v>0</v>
      </c>
      <c r="I107" s="13">
        <f>SUM(I108+I111)</f>
        <v>11000</v>
      </c>
      <c r="K107" s="25" t="e">
        <f>SUM(E176-K104)</f>
        <v>#REF!</v>
      </c>
      <c r="L107" s="25"/>
      <c r="M107" s="25"/>
      <c r="N107" s="25"/>
      <c r="O107" s="25"/>
    </row>
    <row r="108" spans="1:9" ht="16.5">
      <c r="A108" s="174"/>
      <c r="B108" s="175"/>
      <c r="C108" s="51" t="s">
        <v>124</v>
      </c>
      <c r="D108" s="47" t="s">
        <v>244</v>
      </c>
      <c r="E108" s="48">
        <f>SUM(E109:E110)</f>
        <v>27927</v>
      </c>
      <c r="F108" s="48">
        <f>SUM(F109:F110)</f>
        <v>30134</v>
      </c>
      <c r="G108" s="48">
        <f>SUM(G109:G110)</f>
        <v>31732</v>
      </c>
      <c r="H108" s="169">
        <f>SUM(H109:H110)</f>
        <v>0</v>
      </c>
      <c r="I108" s="48">
        <f>SUM(I109:I110)</f>
        <v>11000</v>
      </c>
    </row>
    <row r="109" spans="1:9" ht="16.5">
      <c r="A109" s="66"/>
      <c r="B109" s="68"/>
      <c r="C109" s="10" t="s">
        <v>72</v>
      </c>
      <c r="D109" s="12" t="s">
        <v>307</v>
      </c>
      <c r="E109" s="13">
        <v>19835</v>
      </c>
      <c r="F109" s="13">
        <v>20000</v>
      </c>
      <c r="G109" s="13">
        <v>20000</v>
      </c>
      <c r="H109" s="49"/>
      <c r="I109" s="13"/>
    </row>
    <row r="110" spans="1:9" ht="16.5">
      <c r="A110" s="66"/>
      <c r="B110" s="68"/>
      <c r="C110" s="10" t="s">
        <v>1464</v>
      </c>
      <c r="D110" s="12" t="s">
        <v>246</v>
      </c>
      <c r="E110" s="13">
        <v>8092</v>
      </c>
      <c r="F110" s="13">
        <v>10134</v>
      </c>
      <c r="G110" s="13">
        <v>11732</v>
      </c>
      <c r="H110" s="49"/>
      <c r="I110" s="13">
        <v>11000</v>
      </c>
    </row>
    <row r="111" spans="1:9" ht="16.5">
      <c r="A111" s="66"/>
      <c r="B111" s="68"/>
      <c r="C111" s="10" t="s">
        <v>125</v>
      </c>
      <c r="D111" s="12" t="s">
        <v>247</v>
      </c>
      <c r="E111" s="13"/>
      <c r="F111" s="13"/>
      <c r="G111" s="13"/>
      <c r="H111" s="49">
        <v>0</v>
      </c>
      <c r="I111" s="13"/>
    </row>
    <row r="112" spans="1:9" ht="16.5">
      <c r="A112" s="66"/>
      <c r="B112" s="68"/>
      <c r="C112" s="10"/>
      <c r="D112" s="69" t="s">
        <v>248</v>
      </c>
      <c r="E112" s="41">
        <f>SUM(E105+E107+E106)</f>
        <v>27927</v>
      </c>
      <c r="F112" s="41">
        <f>SUM(F105+F107+F106)</f>
        <v>30134</v>
      </c>
      <c r="G112" s="41">
        <f>SUM(G105+G107+G106)</f>
        <v>31734</v>
      </c>
      <c r="H112" s="258">
        <f>SUM(H105+H107+H106)</f>
        <v>0</v>
      </c>
      <c r="I112" s="41">
        <f>SUM(I105+I107+I106)</f>
        <v>12800</v>
      </c>
    </row>
    <row r="113" spans="1:9" ht="16.5">
      <c r="A113" s="66"/>
      <c r="B113" s="65" t="s">
        <v>19</v>
      </c>
      <c r="C113" s="11"/>
      <c r="D113" s="1128" t="s">
        <v>250</v>
      </c>
      <c r="E113" s="1129"/>
      <c r="F113" s="1129"/>
      <c r="G113" s="1129"/>
      <c r="H113" s="1129"/>
      <c r="I113" s="1136"/>
    </row>
    <row r="114" spans="1:9" ht="16.5">
      <c r="A114" s="66"/>
      <c r="B114" s="68"/>
      <c r="C114" s="11" t="s">
        <v>20</v>
      </c>
      <c r="D114" s="12" t="s">
        <v>251</v>
      </c>
      <c r="E114" s="13">
        <v>17861</v>
      </c>
      <c r="F114" s="13">
        <v>18148</v>
      </c>
      <c r="G114" s="13">
        <v>19341</v>
      </c>
      <c r="H114" s="49"/>
      <c r="I114" s="13"/>
    </row>
    <row r="115" spans="1:9" ht="16.5">
      <c r="A115" s="66"/>
      <c r="B115" s="68"/>
      <c r="C115" s="11" t="s">
        <v>44</v>
      </c>
      <c r="D115" s="12" t="s">
        <v>35</v>
      </c>
      <c r="E115" s="13">
        <v>5645</v>
      </c>
      <c r="F115" s="13">
        <v>5679</v>
      </c>
      <c r="G115" s="13">
        <v>6008</v>
      </c>
      <c r="H115" s="49"/>
      <c r="I115" s="13"/>
    </row>
    <row r="116" spans="1:9" ht="16.5">
      <c r="A116" s="66"/>
      <c r="B116" s="68"/>
      <c r="C116" s="11" t="s">
        <v>45</v>
      </c>
      <c r="D116" s="12" t="s">
        <v>253</v>
      </c>
      <c r="E116" s="13">
        <v>4421</v>
      </c>
      <c r="F116" s="13">
        <v>6307</v>
      </c>
      <c r="G116" s="13">
        <v>6385</v>
      </c>
      <c r="H116" s="49"/>
      <c r="I116" s="13">
        <v>12800</v>
      </c>
    </row>
    <row r="117" spans="1:9" ht="16.5">
      <c r="A117" s="66"/>
      <c r="B117" s="68"/>
      <c r="C117" s="11" t="s">
        <v>49</v>
      </c>
      <c r="D117" s="12" t="s">
        <v>257</v>
      </c>
      <c r="E117" s="13"/>
      <c r="F117" s="13"/>
      <c r="G117" s="13"/>
      <c r="H117" s="49"/>
      <c r="I117" s="13"/>
    </row>
    <row r="118" spans="1:9" ht="16.5">
      <c r="A118" s="66"/>
      <c r="B118" s="68"/>
      <c r="C118" s="11"/>
      <c r="D118" s="72" t="s">
        <v>261</v>
      </c>
      <c r="E118" s="41">
        <f>SUM(E114:E117)</f>
        <v>27927</v>
      </c>
      <c r="F118" s="41">
        <f>SUM(F114:F117)</f>
        <v>30134</v>
      </c>
      <c r="G118" s="41">
        <f>SUM(G114:G117)</f>
        <v>31734</v>
      </c>
      <c r="H118" s="258">
        <f>SUM(H114:H117)</f>
        <v>0</v>
      </c>
      <c r="I118" s="41">
        <f>SUM(I114:I117)</f>
        <v>12800</v>
      </c>
    </row>
    <row r="119" spans="1:9" ht="16.5">
      <c r="A119" s="66"/>
      <c r="B119" s="65" t="s">
        <v>22</v>
      </c>
      <c r="C119" s="16"/>
      <c r="D119" s="75" t="s">
        <v>266</v>
      </c>
      <c r="E119" s="85">
        <v>7.5</v>
      </c>
      <c r="F119" s="85">
        <v>7.5</v>
      </c>
      <c r="G119" s="85">
        <v>7.5</v>
      </c>
      <c r="H119" s="49"/>
      <c r="I119" s="85">
        <v>0</v>
      </c>
    </row>
    <row r="120" spans="1:9" ht="17.25">
      <c r="A120" s="33"/>
      <c r="B120" s="65"/>
      <c r="C120" s="15"/>
      <c r="D120" s="86" t="s">
        <v>1123</v>
      </c>
      <c r="E120" s="87"/>
      <c r="F120" s="87"/>
      <c r="G120" s="87"/>
      <c r="H120" s="87"/>
      <c r="I120" s="1202"/>
    </row>
    <row r="121" spans="1:9" ht="16.5">
      <c r="A121" s="66"/>
      <c r="B121" s="65" t="s">
        <v>14</v>
      </c>
      <c r="C121" s="10"/>
      <c r="D121" s="1128" t="s">
        <v>240</v>
      </c>
      <c r="E121" s="1129"/>
      <c r="F121" s="1129"/>
      <c r="G121" s="1129"/>
      <c r="H121" s="1129"/>
      <c r="I121" s="1136"/>
    </row>
    <row r="122" spans="1:9" ht="16.5">
      <c r="A122" s="66"/>
      <c r="B122" s="68"/>
      <c r="C122" s="15" t="s">
        <v>16</v>
      </c>
      <c r="D122" s="12" t="s">
        <v>623</v>
      </c>
      <c r="E122" s="13">
        <f>SUM(E123:E124)</f>
        <v>2585</v>
      </c>
      <c r="F122" s="13">
        <f>SUM(F123:F124)</f>
        <v>3074</v>
      </c>
      <c r="G122" s="13">
        <f>SUM(G123:G124)</f>
        <v>3074</v>
      </c>
      <c r="H122" s="13">
        <f>SUM(H123:H124)</f>
        <v>3934</v>
      </c>
      <c r="I122" s="13">
        <f>SUM(I123:I124)</f>
        <v>1000</v>
      </c>
    </row>
    <row r="123" spans="1:9" ht="16.5">
      <c r="A123" s="66"/>
      <c r="B123" s="68"/>
      <c r="C123" s="10" t="s">
        <v>309</v>
      </c>
      <c r="D123" s="12" t="s">
        <v>301</v>
      </c>
      <c r="E123" s="13">
        <v>2154</v>
      </c>
      <c r="F123" s="13">
        <v>2647</v>
      </c>
      <c r="G123" s="13">
        <v>2647</v>
      </c>
      <c r="H123" s="13">
        <v>3278</v>
      </c>
      <c r="I123" s="13">
        <v>1000</v>
      </c>
    </row>
    <row r="124" spans="1:9" ht="16.5">
      <c r="A124" s="66"/>
      <c r="B124" s="68"/>
      <c r="C124" s="10" t="s">
        <v>55</v>
      </c>
      <c r="D124" s="12" t="s">
        <v>184</v>
      </c>
      <c r="E124" s="13">
        <v>431</v>
      </c>
      <c r="F124" s="13">
        <v>427</v>
      </c>
      <c r="G124" s="13">
        <v>427</v>
      </c>
      <c r="H124" s="13">
        <v>656</v>
      </c>
      <c r="I124" s="13"/>
    </row>
    <row r="125" spans="1:9" ht="16.5">
      <c r="A125" s="66"/>
      <c r="B125" s="68"/>
      <c r="C125" s="15" t="s">
        <v>17</v>
      </c>
      <c r="D125" s="12" t="s">
        <v>1209</v>
      </c>
      <c r="E125" s="13">
        <v>0</v>
      </c>
      <c r="F125" s="13">
        <v>0</v>
      </c>
      <c r="G125" s="13">
        <v>0</v>
      </c>
      <c r="H125" s="13"/>
      <c r="I125" s="13"/>
    </row>
    <row r="126" spans="1:9" ht="16.5">
      <c r="A126" s="66"/>
      <c r="B126" s="68"/>
      <c r="C126" s="15" t="s">
        <v>36</v>
      </c>
      <c r="D126" s="12" t="s">
        <v>243</v>
      </c>
      <c r="E126" s="13">
        <f>SUM(E127+E130)</f>
        <v>0</v>
      </c>
      <c r="F126" s="13">
        <f>SUM(F127+F130)</f>
        <v>0</v>
      </c>
      <c r="G126" s="13">
        <f>SUM(G127+G130)</f>
        <v>759</v>
      </c>
      <c r="H126" s="13">
        <f>SUM(H127+H130)</f>
        <v>0</v>
      </c>
      <c r="I126" s="13">
        <f>SUM(I127+I130)</f>
        <v>60000</v>
      </c>
    </row>
    <row r="127" spans="1:9" ht="16.5">
      <c r="A127" s="174"/>
      <c r="B127" s="175"/>
      <c r="C127" s="51" t="s">
        <v>124</v>
      </c>
      <c r="D127" s="47" t="s">
        <v>244</v>
      </c>
      <c r="E127" s="48">
        <f>SUM(E128:E129)</f>
        <v>0</v>
      </c>
      <c r="F127" s="48"/>
      <c r="G127" s="48">
        <f>SUM(G128:G129)</f>
        <v>499</v>
      </c>
      <c r="H127" s="48">
        <f>SUM(H128:H129)</f>
        <v>0</v>
      </c>
      <c r="I127" s="48">
        <f>SUM(I128:I129)</f>
        <v>60000</v>
      </c>
    </row>
    <row r="128" spans="1:9" ht="16.5">
      <c r="A128" s="66"/>
      <c r="B128" s="68"/>
      <c r="C128" s="10" t="s">
        <v>72</v>
      </c>
      <c r="D128" s="12" t="s">
        <v>310</v>
      </c>
      <c r="E128" s="13"/>
      <c r="F128" s="13"/>
      <c r="G128" s="13"/>
      <c r="H128" s="13"/>
      <c r="I128" s="13">
        <v>60000</v>
      </c>
    </row>
    <row r="129" spans="1:9" ht="16.5">
      <c r="A129" s="66"/>
      <c r="B129" s="68"/>
      <c r="C129" s="10" t="s">
        <v>1464</v>
      </c>
      <c r="D129" s="12" t="s">
        <v>246</v>
      </c>
      <c r="E129" s="13"/>
      <c r="F129" s="13"/>
      <c r="G129" s="13">
        <v>499</v>
      </c>
      <c r="H129" s="13">
        <v>0</v>
      </c>
      <c r="I129" s="13">
        <v>0</v>
      </c>
    </row>
    <row r="130" spans="1:9" ht="16.5">
      <c r="A130" s="66"/>
      <c r="B130" s="68"/>
      <c r="C130" s="10" t="s">
        <v>125</v>
      </c>
      <c r="D130" s="12" t="s">
        <v>247</v>
      </c>
      <c r="E130" s="13"/>
      <c r="F130" s="13"/>
      <c r="G130" s="13">
        <v>260</v>
      </c>
      <c r="H130" s="13">
        <v>0</v>
      </c>
      <c r="I130" s="13"/>
    </row>
    <row r="131" spans="1:9" ht="16.5">
      <c r="A131" s="66"/>
      <c r="B131" s="68"/>
      <c r="C131" s="10"/>
      <c r="D131" s="69" t="s">
        <v>248</v>
      </c>
      <c r="E131" s="41">
        <f>SUM(E122+E126+E125)</f>
        <v>2585</v>
      </c>
      <c r="F131" s="41">
        <f>SUM(F122+F126+F125)</f>
        <v>3074</v>
      </c>
      <c r="G131" s="41">
        <f>SUM(G122+G126+G125)</f>
        <v>3833</v>
      </c>
      <c r="H131" s="41">
        <f>SUM(H122+H126+H125)</f>
        <v>3934</v>
      </c>
      <c r="I131" s="41">
        <f>SUM(I122+I126+I125)</f>
        <v>61000</v>
      </c>
    </row>
    <row r="132" spans="1:9" ht="16.5">
      <c r="A132" s="66"/>
      <c r="B132" s="65" t="s">
        <v>19</v>
      </c>
      <c r="C132" s="11"/>
      <c r="D132" s="1128" t="s">
        <v>250</v>
      </c>
      <c r="E132" s="1129"/>
      <c r="F132" s="1129"/>
      <c r="G132" s="1129"/>
      <c r="H132" s="1129"/>
      <c r="I132" s="1136"/>
    </row>
    <row r="133" spans="1:9" ht="16.5">
      <c r="A133" s="66"/>
      <c r="B133" s="68"/>
      <c r="C133" s="11" t="s">
        <v>20</v>
      </c>
      <c r="D133" s="12" t="s">
        <v>251</v>
      </c>
      <c r="E133" s="13">
        <v>1962</v>
      </c>
      <c r="F133" s="13">
        <v>2295</v>
      </c>
      <c r="G133" s="13">
        <v>2363</v>
      </c>
      <c r="H133" s="13">
        <v>2499</v>
      </c>
      <c r="I133" s="13"/>
    </row>
    <row r="134" spans="1:13" ht="16.5">
      <c r="A134" s="66"/>
      <c r="B134" s="68"/>
      <c r="C134" s="11" t="s">
        <v>44</v>
      </c>
      <c r="D134" s="12" t="s">
        <v>35</v>
      </c>
      <c r="E134" s="13">
        <v>587</v>
      </c>
      <c r="F134" s="13">
        <v>699</v>
      </c>
      <c r="G134" s="13">
        <v>721</v>
      </c>
      <c r="H134" s="13">
        <v>719</v>
      </c>
      <c r="I134" s="13"/>
      <c r="M134" s="25">
        <f>SUM(I139-I131)</f>
        <v>0</v>
      </c>
    </row>
    <row r="135" spans="1:9" ht="16.5">
      <c r="A135" s="66"/>
      <c r="B135" s="68"/>
      <c r="C135" s="11" t="s">
        <v>45</v>
      </c>
      <c r="D135" s="12" t="s">
        <v>253</v>
      </c>
      <c r="E135" s="13">
        <v>36</v>
      </c>
      <c r="F135" s="13">
        <v>80</v>
      </c>
      <c r="G135" s="13">
        <v>489</v>
      </c>
      <c r="H135" s="13">
        <v>716</v>
      </c>
      <c r="I135" s="13">
        <v>61000</v>
      </c>
    </row>
    <row r="136" spans="1:9" ht="16.5">
      <c r="A136" s="66"/>
      <c r="B136" s="68"/>
      <c r="C136" s="11" t="s">
        <v>49</v>
      </c>
      <c r="D136" s="12" t="s">
        <v>256</v>
      </c>
      <c r="E136" s="13"/>
      <c r="F136" s="13"/>
      <c r="G136" s="13"/>
      <c r="H136" s="13"/>
      <c r="I136" s="13"/>
    </row>
    <row r="137" spans="1:9" ht="16.5">
      <c r="A137" s="66"/>
      <c r="B137" s="68"/>
      <c r="C137" s="11" t="s">
        <v>50</v>
      </c>
      <c r="D137" s="12" t="s">
        <v>257</v>
      </c>
      <c r="E137" s="13"/>
      <c r="F137" s="13"/>
      <c r="G137" s="13">
        <v>260</v>
      </c>
      <c r="H137" s="13">
        <v>0</v>
      </c>
      <c r="I137" s="13"/>
    </row>
    <row r="138" spans="1:9" ht="16.5">
      <c r="A138" s="66"/>
      <c r="B138" s="68"/>
      <c r="C138" s="11" t="s">
        <v>51</v>
      </c>
      <c r="D138" s="12" t="s">
        <v>260</v>
      </c>
      <c r="E138" s="13"/>
      <c r="F138" s="13"/>
      <c r="G138" s="13"/>
      <c r="H138" s="13"/>
      <c r="I138" s="13"/>
    </row>
    <row r="139" spans="1:9" ht="16.5">
      <c r="A139" s="66"/>
      <c r="B139" s="68"/>
      <c r="C139" s="11"/>
      <c r="D139" s="72" t="s">
        <v>261</v>
      </c>
      <c r="E139" s="41">
        <f>SUM(E133:E138)</f>
        <v>2585</v>
      </c>
      <c r="F139" s="41">
        <f>SUM(F133:F138)</f>
        <v>3074</v>
      </c>
      <c r="G139" s="41">
        <f>SUM(G133:G138)</f>
        <v>3833</v>
      </c>
      <c r="H139" s="41">
        <f>SUM(H133:H138)</f>
        <v>3934</v>
      </c>
      <c r="I139" s="41">
        <f>SUM(I133:I138)</f>
        <v>61000</v>
      </c>
    </row>
    <row r="140" spans="1:9" ht="16.5">
      <c r="A140" s="66"/>
      <c r="B140" s="65" t="s">
        <v>22</v>
      </c>
      <c r="C140" s="16"/>
      <c r="D140" s="75" t="s">
        <v>266</v>
      </c>
      <c r="E140" s="76">
        <v>1</v>
      </c>
      <c r="F140" s="76">
        <v>1</v>
      </c>
      <c r="G140" s="76">
        <v>1</v>
      </c>
      <c r="H140" s="76">
        <v>1</v>
      </c>
      <c r="I140" s="76"/>
    </row>
    <row r="141" spans="1:9" ht="17.25">
      <c r="A141" s="33"/>
      <c r="B141" s="65"/>
      <c r="C141" s="15"/>
      <c r="D141" s="86" t="s">
        <v>1124</v>
      </c>
      <c r="E141" s="87"/>
      <c r="F141" s="87"/>
      <c r="G141" s="87"/>
      <c r="H141" s="87"/>
      <c r="I141" s="1202"/>
    </row>
    <row r="142" spans="1:9" ht="16.5">
      <c r="A142" s="66"/>
      <c r="B142" s="65" t="s">
        <v>14</v>
      </c>
      <c r="C142" s="10"/>
      <c r="D142" s="1128" t="s">
        <v>240</v>
      </c>
      <c r="E142" s="1129"/>
      <c r="F142" s="1129"/>
      <c r="G142" s="1129"/>
      <c r="H142" s="1129"/>
      <c r="I142" s="1136"/>
    </row>
    <row r="143" spans="1:9" ht="16.5">
      <c r="A143" s="66"/>
      <c r="B143" s="68"/>
      <c r="C143" s="15" t="s">
        <v>16</v>
      </c>
      <c r="D143" s="12" t="s">
        <v>623</v>
      </c>
      <c r="E143" s="13"/>
      <c r="F143" s="13"/>
      <c r="G143" s="13"/>
      <c r="H143" s="49"/>
      <c r="I143" s="13">
        <v>4000</v>
      </c>
    </row>
    <row r="144" spans="1:9" ht="16.5">
      <c r="A144" s="66"/>
      <c r="B144" s="68"/>
      <c r="C144" s="15" t="s">
        <v>17</v>
      </c>
      <c r="D144" s="12" t="s">
        <v>1209</v>
      </c>
      <c r="E144" s="13">
        <v>0</v>
      </c>
      <c r="F144" s="13">
        <v>0</v>
      </c>
      <c r="G144" s="13">
        <v>0</v>
      </c>
      <c r="H144" s="49"/>
      <c r="I144" s="13">
        <v>0</v>
      </c>
    </row>
    <row r="145" spans="1:9" ht="16.5">
      <c r="A145" s="66"/>
      <c r="B145" s="68"/>
      <c r="C145" s="15" t="s">
        <v>36</v>
      </c>
      <c r="D145" s="12" t="s">
        <v>243</v>
      </c>
      <c r="E145" s="13">
        <f>SUM(E146+E149)</f>
        <v>11898</v>
      </c>
      <c r="F145" s="13">
        <f>SUM(F146+F149)</f>
        <v>13011</v>
      </c>
      <c r="G145" s="13">
        <f>SUM(G146+G149)</f>
        <v>13387</v>
      </c>
      <c r="H145" s="49">
        <f>SUM(H146+H149)</f>
        <v>0</v>
      </c>
      <c r="I145" s="13">
        <f>SUM(I146+I149)</f>
        <v>0</v>
      </c>
    </row>
    <row r="146" spans="1:9" ht="16.5">
      <c r="A146" s="174"/>
      <c r="B146" s="175"/>
      <c r="C146" s="51" t="s">
        <v>124</v>
      </c>
      <c r="D146" s="47" t="s">
        <v>244</v>
      </c>
      <c r="E146" s="48">
        <f>SUM(E147:E148)</f>
        <v>11898</v>
      </c>
      <c r="F146" s="48">
        <f>SUM(F147:F148)</f>
        <v>13011</v>
      </c>
      <c r="G146" s="48">
        <f>SUM(G147:G148)</f>
        <v>13387</v>
      </c>
      <c r="H146" s="169">
        <f>SUM(H147:H148)</f>
        <v>0</v>
      </c>
      <c r="I146" s="48">
        <f>SUM(I147:I148)</f>
        <v>0</v>
      </c>
    </row>
    <row r="147" spans="1:9" ht="16.5">
      <c r="A147" s="66"/>
      <c r="B147" s="68"/>
      <c r="C147" s="10" t="s">
        <v>72</v>
      </c>
      <c r="D147" s="12" t="s">
        <v>307</v>
      </c>
      <c r="E147" s="13">
        <v>10776</v>
      </c>
      <c r="F147" s="13">
        <v>10236</v>
      </c>
      <c r="G147" s="13">
        <v>10236</v>
      </c>
      <c r="H147" s="49">
        <v>0</v>
      </c>
      <c r="I147" s="13"/>
    </row>
    <row r="148" spans="1:9" ht="16.5">
      <c r="A148" s="66"/>
      <c r="B148" s="68"/>
      <c r="C148" s="10" t="s">
        <v>1464</v>
      </c>
      <c r="D148" s="12" t="s">
        <v>246</v>
      </c>
      <c r="E148" s="13">
        <v>1122</v>
      </c>
      <c r="F148" s="13">
        <v>2775</v>
      </c>
      <c r="G148" s="13">
        <v>3151</v>
      </c>
      <c r="H148" s="49">
        <v>0</v>
      </c>
      <c r="I148" s="13"/>
    </row>
    <row r="149" spans="1:9" ht="16.5">
      <c r="A149" s="66"/>
      <c r="B149" s="68"/>
      <c r="C149" s="10" t="s">
        <v>125</v>
      </c>
      <c r="D149" s="12" t="s">
        <v>247</v>
      </c>
      <c r="E149" s="13"/>
      <c r="F149" s="13"/>
      <c r="G149" s="13"/>
      <c r="H149" s="49"/>
      <c r="I149" s="13"/>
    </row>
    <row r="150" spans="1:9" ht="16.5">
      <c r="A150" s="66"/>
      <c r="B150" s="68"/>
      <c r="C150" s="10"/>
      <c r="D150" s="69" t="s">
        <v>248</v>
      </c>
      <c r="E150" s="41">
        <f>SUM(E143+E145+E144)</f>
        <v>11898</v>
      </c>
      <c r="F150" s="41">
        <f>SUM(F143+F145+F144)</f>
        <v>13011</v>
      </c>
      <c r="G150" s="41">
        <f>SUM(G143+G145+G144)</f>
        <v>13387</v>
      </c>
      <c r="H150" s="258">
        <f>SUM(H143+H145+H144)</f>
        <v>0</v>
      </c>
      <c r="I150" s="41">
        <f>SUM(I143+I145+I144)</f>
        <v>4000</v>
      </c>
    </row>
    <row r="151" spans="1:9" ht="16.5">
      <c r="A151" s="66"/>
      <c r="B151" s="65" t="s">
        <v>19</v>
      </c>
      <c r="C151" s="11"/>
      <c r="D151" s="1128" t="s">
        <v>250</v>
      </c>
      <c r="E151" s="1129"/>
      <c r="F151" s="1129"/>
      <c r="G151" s="1129"/>
      <c r="H151" s="1129"/>
      <c r="I151" s="1136"/>
    </row>
    <row r="152" spans="1:9" ht="16.5">
      <c r="A152" s="66"/>
      <c r="B152" s="68"/>
      <c r="C152" s="11" t="s">
        <v>20</v>
      </c>
      <c r="D152" s="12" t="s">
        <v>251</v>
      </c>
      <c r="E152" s="13">
        <v>7165</v>
      </c>
      <c r="F152" s="13">
        <v>8560</v>
      </c>
      <c r="G152" s="13">
        <v>8845</v>
      </c>
      <c r="H152" s="49">
        <v>0</v>
      </c>
      <c r="I152" s="13"/>
    </row>
    <row r="153" spans="1:9" ht="16.5">
      <c r="A153" s="66"/>
      <c r="B153" s="68"/>
      <c r="C153" s="11" t="s">
        <v>44</v>
      </c>
      <c r="D153" s="12" t="s">
        <v>35</v>
      </c>
      <c r="E153" s="13">
        <v>2274</v>
      </c>
      <c r="F153" s="13">
        <v>2699</v>
      </c>
      <c r="G153" s="13">
        <v>2790</v>
      </c>
      <c r="H153" s="49">
        <v>0</v>
      </c>
      <c r="I153" s="13"/>
    </row>
    <row r="154" spans="1:9" ht="16.5">
      <c r="A154" s="66"/>
      <c r="B154" s="68"/>
      <c r="C154" s="11" t="s">
        <v>45</v>
      </c>
      <c r="D154" s="12" t="s">
        <v>253</v>
      </c>
      <c r="E154" s="13">
        <v>2459</v>
      </c>
      <c r="F154" s="13">
        <v>1752</v>
      </c>
      <c r="G154" s="13">
        <v>1752</v>
      </c>
      <c r="H154" s="49">
        <v>0</v>
      </c>
      <c r="I154" s="13">
        <v>4000</v>
      </c>
    </row>
    <row r="155" spans="1:9" ht="16.5">
      <c r="A155" s="66"/>
      <c r="B155" s="68"/>
      <c r="C155" s="11" t="s">
        <v>49</v>
      </c>
      <c r="D155" s="12" t="s">
        <v>256</v>
      </c>
      <c r="E155" s="13"/>
      <c r="F155" s="13"/>
      <c r="G155" s="13"/>
      <c r="H155" s="49"/>
      <c r="I155" s="13"/>
    </row>
    <row r="156" spans="1:9" ht="16.5">
      <c r="A156" s="66"/>
      <c r="B156" s="68"/>
      <c r="C156" s="11" t="s">
        <v>50</v>
      </c>
      <c r="D156" s="12" t="s">
        <v>257</v>
      </c>
      <c r="E156" s="13"/>
      <c r="F156" s="13"/>
      <c r="G156" s="13"/>
      <c r="H156" s="49"/>
      <c r="I156" s="13"/>
    </row>
    <row r="157" spans="1:9" ht="16.5">
      <c r="A157" s="66"/>
      <c r="B157" s="68"/>
      <c r="C157" s="11" t="s">
        <v>51</v>
      </c>
      <c r="D157" s="12" t="s">
        <v>260</v>
      </c>
      <c r="E157" s="13"/>
      <c r="F157" s="13"/>
      <c r="G157" s="13"/>
      <c r="H157" s="49"/>
      <c r="I157" s="13"/>
    </row>
    <row r="158" spans="1:9" ht="16.5">
      <c r="A158" s="66"/>
      <c r="B158" s="68"/>
      <c r="C158" s="11"/>
      <c r="D158" s="72" t="s">
        <v>261</v>
      </c>
      <c r="E158" s="41">
        <f>SUM(E152:E157)</f>
        <v>11898</v>
      </c>
      <c r="F158" s="41">
        <f>SUM(F152:F157)</f>
        <v>13011</v>
      </c>
      <c r="G158" s="41">
        <f>SUM(G152:G157)</f>
        <v>13387</v>
      </c>
      <c r="H158" s="258">
        <f>SUM(H152:H157)</f>
        <v>0</v>
      </c>
      <c r="I158" s="41">
        <f>SUM(I152:I157)</f>
        <v>4000</v>
      </c>
    </row>
    <row r="159" spans="1:9" ht="16.5">
      <c r="A159" s="66"/>
      <c r="B159" s="65" t="s">
        <v>22</v>
      </c>
      <c r="C159" s="16"/>
      <c r="D159" s="75" t="s">
        <v>266</v>
      </c>
      <c r="E159" s="76">
        <v>3</v>
      </c>
      <c r="F159" s="76">
        <v>3</v>
      </c>
      <c r="G159" s="76">
        <v>3</v>
      </c>
      <c r="H159" s="76">
        <v>0</v>
      </c>
      <c r="I159" s="76"/>
    </row>
    <row r="160" spans="1:9" ht="29.25">
      <c r="A160" s="89"/>
      <c r="B160" s="90"/>
      <c r="C160" s="189"/>
      <c r="D160" s="91" t="s">
        <v>311</v>
      </c>
      <c r="E160" s="92">
        <f>SUM(E76+E57+E36+E17)</f>
        <v>365650</v>
      </c>
      <c r="F160" s="92">
        <f>SUM(F76+F57+F36+F17)</f>
        <v>291953</v>
      </c>
      <c r="G160" s="92">
        <f>SUM(G76+G57+G36+G17)</f>
        <v>384593</v>
      </c>
      <c r="H160" s="92">
        <f>SUM(H76+H57+H36+H17+H95)</f>
        <v>337564</v>
      </c>
      <c r="I160" s="92">
        <f>SUM(I76+I57+I36+I17+I95+I112+I131+I150)</f>
        <v>517191</v>
      </c>
    </row>
    <row r="161" spans="1:9" ht="29.25">
      <c r="A161" s="89"/>
      <c r="B161" s="90"/>
      <c r="C161" s="189"/>
      <c r="D161" s="91" t="s">
        <v>312</v>
      </c>
      <c r="E161" s="92">
        <f>SUM(E84+E65+E44+E25)</f>
        <v>365650</v>
      </c>
      <c r="F161" s="92">
        <f>SUM(F84+F65+F44+F25)</f>
        <v>291953</v>
      </c>
      <c r="G161" s="92">
        <f>SUM(G84+G65+G44+G25)</f>
        <v>384593</v>
      </c>
      <c r="H161" s="92">
        <f>SUM(H84+H65+H44+H25+H101)</f>
        <v>337564</v>
      </c>
      <c r="I161" s="92">
        <f>SUM(I84+I65+I44+I25+I101+I118+I139+I158)</f>
        <v>517191</v>
      </c>
    </row>
    <row r="162" spans="1:9" ht="16.5">
      <c r="A162" s="89"/>
      <c r="B162" s="90"/>
      <c r="C162" s="189"/>
      <c r="D162" s="93" t="s">
        <v>269</v>
      </c>
      <c r="E162" s="441">
        <f>SUM(E85,E66,E45,E26)</f>
        <v>58.5</v>
      </c>
      <c r="F162" s="441">
        <f>SUM(F85,F66,F45,F26)</f>
        <v>62</v>
      </c>
      <c r="G162" s="441">
        <f>SUM(G85,G66,G45,G26)</f>
        <v>62</v>
      </c>
      <c r="H162" s="441">
        <f>SUM(H85,H66,H45,H26,H102)</f>
        <v>69</v>
      </c>
      <c r="I162" s="441">
        <v>73</v>
      </c>
    </row>
    <row r="163" spans="1:9" ht="16.5">
      <c r="A163" s="256"/>
      <c r="B163" s="249"/>
      <c r="C163" s="250"/>
      <c r="D163" s="105"/>
      <c r="E163" s="311"/>
      <c r="F163" s="311"/>
      <c r="G163" s="311"/>
      <c r="H163" s="311"/>
      <c r="I163" s="311"/>
    </row>
    <row r="164" spans="1:9" ht="16.5">
      <c r="A164" s="256"/>
      <c r="B164" s="249"/>
      <c r="C164" s="250"/>
      <c r="D164" s="105"/>
      <c r="E164" s="311"/>
      <c r="F164" s="311"/>
      <c r="G164" s="311"/>
      <c r="H164" s="311"/>
      <c r="I164" s="311"/>
    </row>
    <row r="165" spans="1:9" ht="16.5">
      <c r="A165" s="256"/>
      <c r="B165" s="249"/>
      <c r="C165" s="250"/>
      <c r="D165" s="105"/>
      <c r="E165" s="311"/>
      <c r="F165" s="311"/>
      <c r="G165" s="311"/>
      <c r="H165" s="311"/>
      <c r="I165" s="311"/>
    </row>
    <row r="166" spans="1:9" ht="16.5">
      <c r="A166" s="256"/>
      <c r="B166" s="249"/>
      <c r="C166" s="250"/>
      <c r="D166" s="105"/>
      <c r="E166" s="311"/>
      <c r="F166" s="311"/>
      <c r="G166" s="311"/>
      <c r="H166" s="311"/>
      <c r="I166" s="311"/>
    </row>
    <row r="167" spans="1:9" ht="16.5">
      <c r="A167" s="256"/>
      <c r="B167" s="249"/>
      <c r="C167" s="250"/>
      <c r="D167" s="105"/>
      <c r="E167" s="311"/>
      <c r="F167" s="311"/>
      <c r="G167" s="311"/>
      <c r="H167" s="311"/>
      <c r="I167" s="311"/>
    </row>
    <row r="168" spans="1:9" ht="16.5">
      <c r="A168" s="256"/>
      <c r="B168" s="249"/>
      <c r="C168" s="250"/>
      <c r="D168" s="105"/>
      <c r="E168" s="311"/>
      <c r="F168" s="311"/>
      <c r="G168" s="311"/>
      <c r="H168" s="311"/>
      <c r="I168" s="311"/>
    </row>
    <row r="169" spans="1:9" ht="16.5">
      <c r="A169" s="256"/>
      <c r="B169" s="249"/>
      <c r="C169" s="250"/>
      <c r="D169" s="105"/>
      <c r="E169" s="311"/>
      <c r="F169" s="311"/>
      <c r="G169" s="311"/>
      <c r="H169" s="311"/>
      <c r="I169" s="311"/>
    </row>
    <row r="170" spans="1:9" ht="16.5">
      <c r="A170" s="256"/>
      <c r="B170" s="249"/>
      <c r="C170" s="250"/>
      <c r="D170" s="105"/>
      <c r="E170" s="311"/>
      <c r="F170" s="311"/>
      <c r="G170" s="311"/>
      <c r="H170" s="311"/>
      <c r="I170" s="311"/>
    </row>
    <row r="171" spans="1:9" ht="17.25">
      <c r="A171" s="256"/>
      <c r="B171" s="249"/>
      <c r="C171" s="250"/>
      <c r="D171" s="432"/>
      <c r="E171" s="311"/>
      <c r="F171" s="311"/>
      <c r="G171" s="311"/>
      <c r="H171" s="311"/>
      <c r="I171" s="311"/>
    </row>
    <row r="175" ht="14.25">
      <c r="S175"/>
    </row>
    <row r="176" ht="14.25">
      <c r="S176"/>
    </row>
    <row r="177" ht="14.25">
      <c r="S177"/>
    </row>
    <row r="178" ht="14.25">
      <c r="S178"/>
    </row>
    <row r="179" ht="14.25">
      <c r="S179"/>
    </row>
    <row r="180" spans="5:19" ht="14.25">
      <c r="E180" s="25" t="e">
        <f>SUM(#REF!-#REF!)</f>
        <v>#REF!</v>
      </c>
      <c r="F180" s="25" t="e">
        <f>SUM(#REF!-#REF!)</f>
        <v>#REF!</v>
      </c>
      <c r="S180"/>
    </row>
    <row r="181" ht="14.25">
      <c r="S181"/>
    </row>
    <row r="182" ht="14.25">
      <c r="S182"/>
    </row>
    <row r="183" ht="14.25">
      <c r="S183"/>
    </row>
    <row r="184" ht="14.25">
      <c r="S184"/>
    </row>
    <row r="185" ht="14.25">
      <c r="S185"/>
    </row>
    <row r="186" ht="14.25">
      <c r="S186"/>
    </row>
    <row r="187" ht="14.25">
      <c r="S187"/>
    </row>
    <row r="188" ht="14.25">
      <c r="S188"/>
    </row>
    <row r="189" ht="14.25">
      <c r="S189"/>
    </row>
    <row r="190" ht="14.25">
      <c r="S190"/>
    </row>
    <row r="191" ht="14.25">
      <c r="S191"/>
    </row>
    <row r="192" ht="14.25">
      <c r="S192"/>
    </row>
    <row r="193" ht="14.25">
      <c r="S193"/>
    </row>
    <row r="194" ht="14.25">
      <c r="S194"/>
    </row>
    <row r="195" ht="14.25">
      <c r="S195"/>
    </row>
    <row r="196" ht="14.25">
      <c r="S196"/>
    </row>
    <row r="197" ht="14.25">
      <c r="S197"/>
    </row>
    <row r="198" ht="14.25">
      <c r="S198"/>
    </row>
  </sheetData>
  <sheetProtection/>
  <mergeCells count="18">
    <mergeCell ref="D77:I77"/>
    <mergeCell ref="D87:I87"/>
    <mergeCell ref="D151:I151"/>
    <mergeCell ref="D121:I121"/>
    <mergeCell ref="D132:I132"/>
    <mergeCell ref="D142:I142"/>
    <mergeCell ref="D104:I104"/>
    <mergeCell ref="D113:I113"/>
    <mergeCell ref="D28:I28"/>
    <mergeCell ref="D96:I96"/>
    <mergeCell ref="D2:I2"/>
    <mergeCell ref="A1:C1"/>
    <mergeCell ref="D4:I4"/>
    <mergeCell ref="D18:I18"/>
    <mergeCell ref="D37:I37"/>
    <mergeCell ref="D47:I47"/>
    <mergeCell ref="D58:I58"/>
    <mergeCell ref="D68:I68"/>
  </mergeCells>
  <printOptions horizontalCentered="1"/>
  <pageMargins left="0" right="0" top="0.95" bottom="0.1968503937007874" header="0.28" footer="0.11811023622047245"/>
  <pageSetup firstPageNumber="70" useFirstPageNumber="1" horizontalDpi="600" verticalDpi="600" orientation="portrait" paperSize="9" scale="99" r:id="rId1"/>
  <headerFooter alignWithMargins="0">
    <oddHeader>&amp;C&amp;"Times New Roman,Félkövér"&amp;14
Önállóan működő és gazdálkodó intézmény 2011. évi bevételei és kiadásai&amp;R4. sz. melléklet
ezer Ft</oddHeader>
    <oddFooter>&amp;C- &amp;P -</oddFooter>
  </headerFooter>
  <rowBreaks count="3" manualBreakCount="3">
    <brk id="45" max="11" man="1"/>
    <brk id="85" max="11" man="1"/>
    <brk id="119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90" zoomScaleSheetLayoutView="90" zoomScalePageLayoutView="0" workbookViewId="0" topLeftCell="A1">
      <selection activeCell="B3" sqref="B3:B10"/>
    </sheetView>
  </sheetViews>
  <sheetFormatPr defaultColWidth="9.140625" defaultRowHeight="12.75"/>
  <cols>
    <col min="1" max="1" width="3.00390625" style="326" customWidth="1"/>
    <col min="2" max="2" width="2.57421875" style="354" customWidth="1"/>
    <col min="3" max="3" width="3.7109375" style="354" customWidth="1"/>
    <col min="4" max="4" width="62.28125" style="326" customWidth="1"/>
    <col min="5" max="5" width="9.8515625" style="326" customWidth="1"/>
    <col min="6" max="7" width="10.28125" style="326" customWidth="1"/>
    <col min="8" max="16384" width="9.140625" style="326" customWidth="1"/>
  </cols>
  <sheetData>
    <row r="1" spans="1:7" ht="47.25" customHeight="1">
      <c r="A1" s="1141" t="s">
        <v>9</v>
      </c>
      <c r="B1" s="1142"/>
      <c r="C1" s="1143"/>
      <c r="D1" s="324" t="s">
        <v>10</v>
      </c>
      <c r="E1" s="325" t="s">
        <v>1086</v>
      </c>
      <c r="F1" s="325" t="s">
        <v>184</v>
      </c>
      <c r="G1" s="325" t="s">
        <v>1087</v>
      </c>
    </row>
    <row r="2" spans="1:7" ht="19.5" customHeight="1">
      <c r="A2" s="327" t="s">
        <v>14</v>
      </c>
      <c r="B2" s="328"/>
      <c r="C2" s="329"/>
      <c r="D2" s="392" t="s">
        <v>1155</v>
      </c>
      <c r="E2" s="330">
        <f>SUM(E3:E10)</f>
        <v>0</v>
      </c>
      <c r="F2" s="330">
        <f>SUM(F3:F10)</f>
        <v>0</v>
      </c>
      <c r="G2" s="330">
        <f>SUM(G3:G10)</f>
        <v>0</v>
      </c>
    </row>
    <row r="3" spans="1:7" ht="15" customHeight="1">
      <c r="A3" s="331"/>
      <c r="B3" s="332"/>
      <c r="C3" s="333"/>
      <c r="D3" s="334"/>
      <c r="E3" s="336"/>
      <c r="F3" s="335"/>
      <c r="G3" s="335"/>
    </row>
    <row r="4" spans="1:7" ht="15" customHeight="1">
      <c r="A4" s="337"/>
      <c r="B4" s="338"/>
      <c r="C4" s="339"/>
      <c r="D4" s="334"/>
      <c r="E4" s="336"/>
      <c r="F4" s="336"/>
      <c r="G4" s="340">
        <f>SUM(F4*20%)</f>
        <v>0</v>
      </c>
    </row>
    <row r="5" spans="1:7" ht="15" customHeight="1">
      <c r="A5" s="337"/>
      <c r="B5" s="338"/>
      <c r="C5" s="339"/>
      <c r="D5" s="334"/>
      <c r="E5" s="336"/>
      <c r="F5" s="336"/>
      <c r="G5" s="340">
        <f>SUM(F5*20%)</f>
        <v>0</v>
      </c>
    </row>
    <row r="6" spans="1:7" ht="15" customHeight="1">
      <c r="A6" s="337"/>
      <c r="B6" s="338"/>
      <c r="C6" s="339"/>
      <c r="D6" s="334"/>
      <c r="E6" s="336"/>
      <c r="F6" s="336"/>
      <c r="G6" s="340"/>
    </row>
    <row r="7" spans="1:7" ht="15" customHeight="1">
      <c r="A7" s="337"/>
      <c r="B7" s="338"/>
      <c r="C7" s="339"/>
      <c r="D7" s="334"/>
      <c r="E7" s="336"/>
      <c r="F7" s="336"/>
      <c r="G7" s="340"/>
    </row>
    <row r="8" spans="1:7" ht="17.25" customHeight="1">
      <c r="A8" s="337"/>
      <c r="B8" s="338"/>
      <c r="C8" s="339"/>
      <c r="D8" s="334"/>
      <c r="E8" s="336"/>
      <c r="F8" s="336"/>
      <c r="G8" s="341"/>
    </row>
    <row r="9" spans="1:7" ht="15" customHeight="1">
      <c r="A9" s="337"/>
      <c r="B9" s="338"/>
      <c r="C9" s="339"/>
      <c r="D9" s="334"/>
      <c r="E9" s="336"/>
      <c r="F9" s="336"/>
      <c r="G9" s="340"/>
    </row>
    <row r="10" spans="1:7" ht="15" customHeight="1">
      <c r="A10" s="337"/>
      <c r="B10" s="338"/>
      <c r="C10" s="339"/>
      <c r="D10" s="334"/>
      <c r="E10" s="336"/>
      <c r="F10" s="336"/>
      <c r="G10" s="336"/>
    </row>
    <row r="11" spans="1:7" ht="20.25" customHeight="1">
      <c r="A11" s="442" t="s">
        <v>19</v>
      </c>
      <c r="B11" s="444"/>
      <c r="C11" s="443"/>
      <c r="D11" s="342" t="s">
        <v>1088</v>
      </c>
      <c r="E11" s="343">
        <f>SUM(E12:E15)</f>
        <v>0</v>
      </c>
      <c r="F11" s="343">
        <f>SUM(F12:F15)</f>
        <v>0</v>
      </c>
      <c r="G11" s="343">
        <f>SUM(G12:G15)</f>
        <v>0</v>
      </c>
    </row>
    <row r="12" spans="1:7" ht="16.5">
      <c r="A12" s="344"/>
      <c r="B12" s="345"/>
      <c r="C12" s="346"/>
      <c r="D12" s="347"/>
      <c r="E12" s="348"/>
      <c r="F12" s="348"/>
      <c r="G12" s="348"/>
    </row>
    <row r="13" spans="1:7" ht="16.5">
      <c r="A13" s="344"/>
      <c r="B13" s="345"/>
      <c r="C13" s="346"/>
      <c r="D13" s="347"/>
      <c r="E13" s="348"/>
      <c r="F13" s="348"/>
      <c r="G13" s="348"/>
    </row>
    <row r="14" spans="1:7" ht="16.5">
      <c r="A14" s="344"/>
      <c r="B14" s="345"/>
      <c r="C14" s="346"/>
      <c r="D14" s="347"/>
      <c r="E14" s="348"/>
      <c r="F14" s="348"/>
      <c r="G14" s="348"/>
    </row>
    <row r="15" spans="1:7" ht="16.5">
      <c r="A15" s="344"/>
      <c r="B15" s="345"/>
      <c r="C15" s="346"/>
      <c r="D15" s="347"/>
      <c r="E15" s="348"/>
      <c r="F15" s="348"/>
      <c r="G15" s="348"/>
    </row>
    <row r="16" spans="1:7" ht="23.25" customHeight="1">
      <c r="A16" s="349"/>
      <c r="B16" s="350"/>
      <c r="C16" s="351"/>
      <c r="D16" s="352" t="s">
        <v>1099</v>
      </c>
      <c r="E16" s="330">
        <f>SUM(E2+E11)</f>
        <v>0</v>
      </c>
      <c r="F16" s="330">
        <f>SUM(F2+F11)</f>
        <v>0</v>
      </c>
      <c r="G16" s="330">
        <f>SUM(G2+G11)</f>
        <v>0</v>
      </c>
    </row>
    <row r="17" ht="12.75">
      <c r="G17" s="353"/>
    </row>
    <row r="21" ht="12.75">
      <c r="D21" s="353"/>
    </row>
  </sheetData>
  <sheetProtection/>
  <mergeCells count="1">
    <mergeCell ref="A1:C1"/>
  </mergeCells>
  <printOptions horizontalCentered="1"/>
  <pageMargins left="0.1968503937007874" right="0.1968503937007874" top="1.12" bottom="0.5905511811023623" header="0.36" footer="0.5118110236220472"/>
  <pageSetup firstPageNumber="74" useFirstPageNumber="1" horizontalDpi="600" verticalDpi="600" orientation="portrait" paperSize="9" scale="95" r:id="rId1"/>
  <headerFooter alignWithMargins="0">
    <oddHeader>&amp;L
&amp;C&amp;"Times New Roman,Félkövér"&amp;14
Vecsés Város Önkormányzat 2011. évi  tervezett felújítási kiadások feladatonkén&amp;"Arial,Normál"t&amp;R5.számú melléklet
ezer Ft</oddHeader>
    <oddFooter>&amp;C- &amp;P -</oddFooter>
  </headerFooter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9"/>
  <sheetViews>
    <sheetView view="pageBreakPreview" zoomScaleSheetLayoutView="100" zoomScalePageLayoutView="0" workbookViewId="0" topLeftCell="A83">
      <selection activeCell="C113" sqref="C113"/>
    </sheetView>
  </sheetViews>
  <sheetFormatPr defaultColWidth="10.421875" defaultRowHeight="12.75"/>
  <cols>
    <col min="1" max="1" width="3.140625" style="355" customWidth="1"/>
    <col min="2" max="2" width="4.421875" style="391" customWidth="1"/>
    <col min="3" max="3" width="6.00390625" style="391" customWidth="1"/>
    <col min="4" max="4" width="59.140625" style="355" customWidth="1"/>
    <col min="5" max="5" width="10.57421875" style="355" customWidth="1"/>
    <col min="6" max="6" width="11.00390625" style="355" customWidth="1"/>
    <col min="7" max="7" width="0.13671875" style="355" hidden="1" customWidth="1"/>
    <col min="8" max="8" width="12.57421875" style="355" customWidth="1"/>
    <col min="9" max="16384" width="10.421875" style="355" customWidth="1"/>
  </cols>
  <sheetData>
    <row r="1" spans="1:8" ht="21" customHeight="1">
      <c r="A1" s="1016"/>
      <c r="B1" s="1016"/>
      <c r="C1" s="1017"/>
      <c r="D1" s="1016"/>
      <c r="E1" s="1144" t="s">
        <v>1133</v>
      </c>
      <c r="F1" s="1144"/>
      <c r="G1" s="1144"/>
      <c r="H1" s="1144"/>
    </row>
    <row r="2" spans="1:8" ht="47.25" customHeight="1">
      <c r="A2" s="1145" t="s">
        <v>9</v>
      </c>
      <c r="B2" s="1145"/>
      <c r="C2" s="1145"/>
      <c r="D2" s="356" t="s">
        <v>10</v>
      </c>
      <c r="E2" s="357" t="s">
        <v>1086</v>
      </c>
      <c r="F2" s="357" t="s">
        <v>184</v>
      </c>
      <c r="G2" s="356"/>
      <c r="H2" s="357" t="s">
        <v>1087</v>
      </c>
    </row>
    <row r="3" spans="1:10" ht="23.25" customHeight="1">
      <c r="A3" s="358" t="s">
        <v>14</v>
      </c>
      <c r="B3" s="359"/>
      <c r="C3" s="360"/>
      <c r="D3" s="361" t="s">
        <v>1100</v>
      </c>
      <c r="E3" s="362">
        <f>SUM(E4:E14)+E15+E26+E62</f>
        <v>16960</v>
      </c>
      <c r="F3" s="362">
        <f>SUM(F4:F14)+F15+F26+F62</f>
        <v>4240</v>
      </c>
      <c r="G3" s="362" t="e">
        <f>SUM(G4:G14)+G15+G26+G62</f>
        <v>#REF!</v>
      </c>
      <c r="H3" s="362">
        <f>SUM(H4:H14)+H15+H26+H62</f>
        <v>21200</v>
      </c>
      <c r="J3" s="390">
        <f>SUM(E3+F3)</f>
        <v>21200</v>
      </c>
    </row>
    <row r="4" spans="1:10" ht="16.5" customHeight="1">
      <c r="A4" s="363"/>
      <c r="B4" s="364" t="s">
        <v>1514</v>
      </c>
      <c r="C4" s="365"/>
      <c r="D4" s="366" t="s">
        <v>942</v>
      </c>
      <c r="E4" s="368"/>
      <c r="F4" s="368"/>
      <c r="G4" s="367">
        <v>0</v>
      </c>
      <c r="H4" s="368">
        <f>SUM(E4:F4)</f>
        <v>0</v>
      </c>
      <c r="J4" s="390">
        <f>SUM(H4:H14)</f>
        <v>0</v>
      </c>
    </row>
    <row r="5" spans="1:8" ht="15.75">
      <c r="A5" s="363"/>
      <c r="B5" s="364" t="s">
        <v>1515</v>
      </c>
      <c r="C5" s="365"/>
      <c r="D5" s="369" t="s">
        <v>943</v>
      </c>
      <c r="E5" s="368">
        <f aca="true" t="shared" si="0" ref="E5:E12">SUM(H5-F5)</f>
        <v>0</v>
      </c>
      <c r="F5" s="368">
        <f aca="true" t="shared" si="1" ref="F5:F12">SUM(H5*0.2)</f>
        <v>0</v>
      </c>
      <c r="G5" s="367" t="e">
        <f>SUM(#REF!*20%)</f>
        <v>#REF!</v>
      </c>
      <c r="H5" s="368"/>
    </row>
    <row r="6" spans="1:8" ht="15" customHeight="1">
      <c r="A6" s="363"/>
      <c r="B6" s="364" t="s">
        <v>626</v>
      </c>
      <c r="C6" s="365"/>
      <c r="D6" s="369" t="s">
        <v>944</v>
      </c>
      <c r="E6" s="368">
        <f t="shared" si="0"/>
        <v>0</v>
      </c>
      <c r="F6" s="368">
        <f t="shared" si="1"/>
        <v>0</v>
      </c>
      <c r="G6" s="367" t="e">
        <f>SUM(#REF!*20%)</f>
        <v>#REF!</v>
      </c>
      <c r="H6" s="368"/>
    </row>
    <row r="7" spans="1:8" ht="15" customHeight="1">
      <c r="A7" s="363"/>
      <c r="B7" s="364" t="s">
        <v>404</v>
      </c>
      <c r="C7" s="365"/>
      <c r="D7" s="393" t="s">
        <v>945</v>
      </c>
      <c r="E7" s="368">
        <f t="shared" si="0"/>
        <v>0</v>
      </c>
      <c r="F7" s="368">
        <f t="shared" si="1"/>
        <v>0</v>
      </c>
      <c r="G7" s="396" t="e">
        <f>SUM(#REF!*20%)</f>
        <v>#REF!</v>
      </c>
      <c r="H7" s="395"/>
    </row>
    <row r="8" spans="1:8" ht="15" customHeight="1">
      <c r="A8" s="363"/>
      <c r="B8" s="364" t="s">
        <v>1516</v>
      </c>
      <c r="C8" s="365"/>
      <c r="D8" s="393" t="s">
        <v>946</v>
      </c>
      <c r="E8" s="368">
        <f t="shared" si="0"/>
        <v>0</v>
      </c>
      <c r="F8" s="368">
        <f t="shared" si="1"/>
        <v>0</v>
      </c>
      <c r="G8" s="396"/>
      <c r="H8" s="395"/>
    </row>
    <row r="9" spans="1:8" ht="15" customHeight="1">
      <c r="A9" s="363"/>
      <c r="B9" s="364" t="s">
        <v>1517</v>
      </c>
      <c r="C9" s="365"/>
      <c r="D9" s="369" t="s">
        <v>947</v>
      </c>
      <c r="E9" s="368">
        <f t="shared" si="0"/>
        <v>0</v>
      </c>
      <c r="F9" s="368">
        <f t="shared" si="1"/>
        <v>0</v>
      </c>
      <c r="G9" s="367" t="e">
        <f>SUM(#REF!*20%)</f>
        <v>#REF!</v>
      </c>
      <c r="H9" s="368"/>
    </row>
    <row r="10" spans="1:8" ht="15" customHeight="1">
      <c r="A10" s="363"/>
      <c r="B10" s="364" t="s">
        <v>1518</v>
      </c>
      <c r="C10" s="365"/>
      <c r="D10" s="369" t="s">
        <v>948</v>
      </c>
      <c r="E10" s="368">
        <f t="shared" si="0"/>
        <v>0</v>
      </c>
      <c r="F10" s="368">
        <f t="shared" si="1"/>
        <v>0</v>
      </c>
      <c r="G10" s="367" t="e">
        <f>SUM(#REF!*20%)</f>
        <v>#REF!</v>
      </c>
      <c r="H10" s="368"/>
    </row>
    <row r="11" spans="1:8" ht="15" customHeight="1">
      <c r="A11" s="363"/>
      <c r="B11" s="364" t="s">
        <v>1519</v>
      </c>
      <c r="C11" s="365"/>
      <c r="D11" s="369" t="s">
        <v>949</v>
      </c>
      <c r="E11" s="368">
        <f t="shared" si="0"/>
        <v>0</v>
      </c>
      <c r="F11" s="368">
        <f t="shared" si="1"/>
        <v>0</v>
      </c>
      <c r="G11" s="367">
        <v>0</v>
      </c>
      <c r="H11" s="368"/>
    </row>
    <row r="12" spans="1:8" ht="15" customHeight="1">
      <c r="A12" s="363"/>
      <c r="B12" s="364" t="s">
        <v>1520</v>
      </c>
      <c r="C12" s="365"/>
      <c r="D12" s="369" t="s">
        <v>950</v>
      </c>
      <c r="E12" s="368">
        <f t="shared" si="0"/>
        <v>0</v>
      </c>
      <c r="F12" s="368">
        <f t="shared" si="1"/>
        <v>0</v>
      </c>
      <c r="G12" s="367" t="e">
        <f>SUM(#REF!*20%)</f>
        <v>#REF!</v>
      </c>
      <c r="H12" s="368"/>
    </row>
    <row r="13" spans="1:8" ht="15" customHeight="1">
      <c r="A13" s="363"/>
      <c r="B13" s="364" t="s">
        <v>1521</v>
      </c>
      <c r="C13" s="365"/>
      <c r="D13" s="369" t="s">
        <v>951</v>
      </c>
      <c r="E13" s="368"/>
      <c r="F13" s="368"/>
      <c r="G13" s="367"/>
      <c r="H13" s="368"/>
    </row>
    <row r="14" spans="1:8" ht="15" customHeight="1">
      <c r="A14" s="363"/>
      <c r="B14" s="364" t="s">
        <v>1522</v>
      </c>
      <c r="C14" s="365"/>
      <c r="D14" s="393" t="s">
        <v>952</v>
      </c>
      <c r="E14" s="368">
        <f>SUM(H14-F14)</f>
        <v>0</v>
      </c>
      <c r="F14" s="368">
        <f>SUM(H14*0.2)</f>
        <v>0</v>
      </c>
      <c r="G14" s="396"/>
      <c r="H14" s="395"/>
    </row>
    <row r="15" spans="1:8" ht="15" customHeight="1">
      <c r="A15" s="363"/>
      <c r="B15" s="364" t="s">
        <v>1523</v>
      </c>
      <c r="C15" s="371"/>
      <c r="D15" s="1018" t="s">
        <v>1122</v>
      </c>
      <c r="E15" s="374">
        <f>SUM(E16:E25)</f>
        <v>0</v>
      </c>
      <c r="F15" s="374">
        <f>SUM(F16:F25)</f>
        <v>0</v>
      </c>
      <c r="G15" s="374">
        <f>SUM(G16:G25)</f>
        <v>0</v>
      </c>
      <c r="H15" s="374"/>
    </row>
    <row r="16" spans="1:8" ht="15" customHeight="1">
      <c r="A16" s="363"/>
      <c r="B16" s="1215" t="s">
        <v>640</v>
      </c>
      <c r="C16" s="1216"/>
      <c r="D16" s="369" t="s">
        <v>953</v>
      </c>
      <c r="E16" s="368">
        <f aca="true" t="shared" si="2" ref="E16:E24">SUM(H16-F16)</f>
        <v>0</v>
      </c>
      <c r="F16" s="368">
        <f aca="true" t="shared" si="3" ref="F16:F24">SUM(H16*0.2)</f>
        <v>0</v>
      </c>
      <c r="G16" s="375"/>
      <c r="H16" s="368"/>
    </row>
    <row r="17" spans="1:8" ht="15" customHeight="1">
      <c r="A17" s="363"/>
      <c r="B17" s="1215" t="s">
        <v>1524</v>
      </c>
      <c r="C17" s="1216"/>
      <c r="D17" s="369" t="s">
        <v>954</v>
      </c>
      <c r="E17" s="368">
        <f t="shared" si="2"/>
        <v>0</v>
      </c>
      <c r="F17" s="368">
        <f t="shared" si="3"/>
        <v>0</v>
      </c>
      <c r="G17" s="375"/>
      <c r="H17" s="368"/>
    </row>
    <row r="18" spans="1:8" ht="15" customHeight="1">
      <c r="A18" s="363"/>
      <c r="B18" s="1215" t="s">
        <v>1525</v>
      </c>
      <c r="C18" s="1216"/>
      <c r="D18" s="369" t="s">
        <v>955</v>
      </c>
      <c r="E18" s="368">
        <f t="shared" si="2"/>
        <v>0</v>
      </c>
      <c r="F18" s="368">
        <f t="shared" si="3"/>
        <v>0</v>
      </c>
      <c r="G18" s="375"/>
      <c r="H18" s="368"/>
    </row>
    <row r="19" spans="1:8" ht="15" customHeight="1">
      <c r="A19" s="363"/>
      <c r="B19" s="1215" t="s">
        <v>1526</v>
      </c>
      <c r="C19" s="1216"/>
      <c r="D19" s="369" t="s">
        <v>956</v>
      </c>
      <c r="E19" s="368">
        <f t="shared" si="2"/>
        <v>0</v>
      </c>
      <c r="F19" s="368">
        <f t="shared" si="3"/>
        <v>0</v>
      </c>
      <c r="G19" s="375"/>
      <c r="H19" s="368"/>
    </row>
    <row r="20" spans="1:8" ht="15" customHeight="1">
      <c r="A20" s="363"/>
      <c r="B20" s="1215" t="s">
        <v>1527</v>
      </c>
      <c r="C20" s="1216"/>
      <c r="D20" s="369" t="s">
        <v>957</v>
      </c>
      <c r="E20" s="368">
        <f t="shared" si="2"/>
        <v>0</v>
      </c>
      <c r="F20" s="368">
        <f t="shared" si="3"/>
        <v>0</v>
      </c>
      <c r="G20" s="375"/>
      <c r="H20" s="368"/>
    </row>
    <row r="21" spans="1:8" ht="15" customHeight="1">
      <c r="A21" s="363"/>
      <c r="B21" s="1215" t="s">
        <v>1528</v>
      </c>
      <c r="C21" s="1216"/>
      <c r="D21" s="369" t="s">
        <v>958</v>
      </c>
      <c r="E21" s="368">
        <f t="shared" si="2"/>
        <v>0</v>
      </c>
      <c r="F21" s="368">
        <f t="shared" si="3"/>
        <v>0</v>
      </c>
      <c r="G21" s="375"/>
      <c r="H21" s="368"/>
    </row>
    <row r="22" spans="1:8" ht="15" customHeight="1">
      <c r="A22" s="363"/>
      <c r="B22" s="1215" t="s">
        <v>1529</v>
      </c>
      <c r="C22" s="1216"/>
      <c r="D22" s="369" t="s">
        <v>959</v>
      </c>
      <c r="E22" s="368">
        <f t="shared" si="2"/>
        <v>0</v>
      </c>
      <c r="F22" s="368">
        <f t="shared" si="3"/>
        <v>0</v>
      </c>
      <c r="G22" s="375"/>
      <c r="H22" s="368"/>
    </row>
    <row r="23" spans="1:8" ht="15" customHeight="1">
      <c r="A23" s="363"/>
      <c r="B23" s="1215" t="s">
        <v>1530</v>
      </c>
      <c r="C23" s="1216"/>
      <c r="D23" s="369" t="s">
        <v>960</v>
      </c>
      <c r="E23" s="368">
        <f t="shared" si="2"/>
        <v>0</v>
      </c>
      <c r="F23" s="368">
        <f t="shared" si="3"/>
        <v>0</v>
      </c>
      <c r="G23" s="375"/>
      <c r="H23" s="368"/>
    </row>
    <row r="24" spans="1:8" ht="15" customHeight="1">
      <c r="A24" s="363"/>
      <c r="B24" s="1215" t="s">
        <v>1531</v>
      </c>
      <c r="C24" s="1216"/>
      <c r="D24" s="369" t="s">
        <v>961</v>
      </c>
      <c r="E24" s="368">
        <f t="shared" si="2"/>
        <v>0</v>
      </c>
      <c r="F24" s="368">
        <f t="shared" si="3"/>
        <v>0</v>
      </c>
      <c r="G24" s="375"/>
      <c r="H24" s="368"/>
    </row>
    <row r="25" spans="1:8" ht="15" customHeight="1">
      <c r="A25" s="363"/>
      <c r="B25" s="1215" t="s">
        <v>1532</v>
      </c>
      <c r="C25" s="1216"/>
      <c r="D25" s="369" t="s">
        <v>962</v>
      </c>
      <c r="E25" s="368"/>
      <c r="F25" s="368"/>
      <c r="G25" s="375"/>
      <c r="H25" s="368"/>
    </row>
    <row r="26" spans="1:10" ht="15" customHeight="1">
      <c r="A26" s="363"/>
      <c r="B26" s="364" t="s">
        <v>1533</v>
      </c>
      <c r="C26" s="365"/>
      <c r="D26" s="1018" t="s">
        <v>1146</v>
      </c>
      <c r="E26" s="374">
        <f>SUM(E27:E58)</f>
        <v>0</v>
      </c>
      <c r="F26" s="374">
        <f>SUM(F27:F58)</f>
        <v>0</v>
      </c>
      <c r="G26" s="374">
        <f>SUM(G27:G58)</f>
        <v>0</v>
      </c>
      <c r="H26" s="374">
        <f>SUM(H27:H58)</f>
        <v>0</v>
      </c>
      <c r="J26" s="390">
        <f>SUM(E26+F26)</f>
        <v>0</v>
      </c>
    </row>
    <row r="27" spans="1:8" ht="15" customHeight="1">
      <c r="A27" s="363"/>
      <c r="B27" s="364" t="s">
        <v>1534</v>
      </c>
      <c r="C27" s="365"/>
      <c r="D27" s="426" t="s">
        <v>963</v>
      </c>
      <c r="E27" s="368">
        <f aca="true" t="shared" si="4" ref="E27:E58">SUM(H27-F27)</f>
        <v>0</v>
      </c>
      <c r="F27" s="368">
        <f aca="true" t="shared" si="5" ref="F27:F58">SUM(H27*0.2)</f>
        <v>0</v>
      </c>
      <c r="G27" s="375"/>
      <c r="H27" s="368"/>
    </row>
    <row r="28" spans="1:8" ht="15" customHeight="1">
      <c r="A28" s="363"/>
      <c r="B28" s="364" t="s">
        <v>1535</v>
      </c>
      <c r="C28" s="365"/>
      <c r="D28" s="426" t="s">
        <v>964</v>
      </c>
      <c r="E28" s="368">
        <f t="shared" si="4"/>
        <v>0</v>
      </c>
      <c r="F28" s="368">
        <f t="shared" si="5"/>
        <v>0</v>
      </c>
      <c r="G28" s="375"/>
      <c r="H28" s="368"/>
    </row>
    <row r="29" spans="1:8" ht="15" customHeight="1">
      <c r="A29" s="363"/>
      <c r="B29" s="364" t="s">
        <v>1536</v>
      </c>
      <c r="C29" s="365"/>
      <c r="D29" s="426" t="s">
        <v>965</v>
      </c>
      <c r="E29" s="368">
        <f t="shared" si="4"/>
        <v>0</v>
      </c>
      <c r="F29" s="368">
        <f t="shared" si="5"/>
        <v>0</v>
      </c>
      <c r="G29" s="375"/>
      <c r="H29" s="368"/>
    </row>
    <row r="30" spans="1:8" ht="15" customHeight="1">
      <c r="A30" s="363"/>
      <c r="B30" s="364" t="s">
        <v>1537</v>
      </c>
      <c r="C30" s="365"/>
      <c r="D30" s="426" t="s">
        <v>966</v>
      </c>
      <c r="E30" s="368">
        <f t="shared" si="4"/>
        <v>0</v>
      </c>
      <c r="F30" s="368">
        <f t="shared" si="5"/>
        <v>0</v>
      </c>
      <c r="G30" s="375"/>
      <c r="H30" s="368"/>
    </row>
    <row r="31" spans="1:8" ht="15" customHeight="1">
      <c r="A31" s="363"/>
      <c r="B31" s="364" t="s">
        <v>1538</v>
      </c>
      <c r="C31" s="365"/>
      <c r="D31" s="426" t="s">
        <v>967</v>
      </c>
      <c r="E31" s="368">
        <f t="shared" si="4"/>
        <v>0</v>
      </c>
      <c r="F31" s="368">
        <f t="shared" si="5"/>
        <v>0</v>
      </c>
      <c r="G31" s="375"/>
      <c r="H31" s="368"/>
    </row>
    <row r="32" spans="1:8" ht="15" customHeight="1">
      <c r="A32" s="363"/>
      <c r="B32" s="364" t="s">
        <v>1539</v>
      </c>
      <c r="C32" s="365"/>
      <c r="D32" s="426" t="s">
        <v>968</v>
      </c>
      <c r="E32" s="368">
        <f t="shared" si="4"/>
        <v>0</v>
      </c>
      <c r="F32" s="368">
        <f t="shared" si="5"/>
        <v>0</v>
      </c>
      <c r="G32" s="375"/>
      <c r="H32" s="368"/>
    </row>
    <row r="33" spans="1:8" ht="15" customHeight="1">
      <c r="A33" s="363"/>
      <c r="B33" s="364" t="s">
        <v>1540</v>
      </c>
      <c r="C33" s="365"/>
      <c r="D33" s="426" t="s">
        <v>969</v>
      </c>
      <c r="E33" s="368">
        <f t="shared" si="4"/>
        <v>0</v>
      </c>
      <c r="F33" s="368">
        <f t="shared" si="5"/>
        <v>0</v>
      </c>
      <c r="G33" s="375"/>
      <c r="H33" s="368"/>
    </row>
    <row r="34" spans="1:8" ht="15" customHeight="1">
      <c r="A34" s="363"/>
      <c r="B34" s="364" t="s">
        <v>1541</v>
      </c>
      <c r="C34" s="365"/>
      <c r="D34" s="426" t="s">
        <v>970</v>
      </c>
      <c r="E34" s="368">
        <f t="shared" si="4"/>
        <v>0</v>
      </c>
      <c r="F34" s="368">
        <f t="shared" si="5"/>
        <v>0</v>
      </c>
      <c r="G34" s="375"/>
      <c r="H34" s="368"/>
    </row>
    <row r="35" spans="1:8" ht="15" customHeight="1">
      <c r="A35" s="363"/>
      <c r="B35" s="364" t="s">
        <v>1542</v>
      </c>
      <c r="C35" s="365"/>
      <c r="D35" s="426" t="s">
        <v>971</v>
      </c>
      <c r="E35" s="368">
        <f t="shared" si="4"/>
        <v>0</v>
      </c>
      <c r="F35" s="368">
        <f t="shared" si="5"/>
        <v>0</v>
      </c>
      <c r="G35" s="375"/>
      <c r="H35" s="368"/>
    </row>
    <row r="36" spans="1:8" ht="15" customHeight="1">
      <c r="A36" s="363"/>
      <c r="B36" s="364" t="s">
        <v>1543</v>
      </c>
      <c r="C36" s="365"/>
      <c r="D36" s="426" t="s">
        <v>972</v>
      </c>
      <c r="E36" s="368">
        <f t="shared" si="4"/>
        <v>0</v>
      </c>
      <c r="F36" s="368">
        <f t="shared" si="5"/>
        <v>0</v>
      </c>
      <c r="G36" s="375"/>
      <c r="H36" s="368"/>
    </row>
    <row r="37" spans="1:8" ht="15" customHeight="1">
      <c r="A37" s="363"/>
      <c r="B37" s="364" t="s">
        <v>1544</v>
      </c>
      <c r="C37" s="365"/>
      <c r="D37" s="426" t="s">
        <v>973</v>
      </c>
      <c r="E37" s="368">
        <f t="shared" si="4"/>
        <v>0</v>
      </c>
      <c r="F37" s="368">
        <f t="shared" si="5"/>
        <v>0</v>
      </c>
      <c r="G37" s="375"/>
      <c r="H37" s="368"/>
    </row>
    <row r="38" spans="1:8" ht="15" customHeight="1">
      <c r="A38" s="363"/>
      <c r="B38" s="364" t="s">
        <v>1545</v>
      </c>
      <c r="C38" s="365"/>
      <c r="D38" s="426" t="s">
        <v>974</v>
      </c>
      <c r="E38" s="368">
        <f t="shared" si="4"/>
        <v>0</v>
      </c>
      <c r="F38" s="368">
        <f t="shared" si="5"/>
        <v>0</v>
      </c>
      <c r="G38" s="375"/>
      <c r="H38" s="368"/>
    </row>
    <row r="39" spans="1:8" ht="15" customHeight="1">
      <c r="A39" s="363"/>
      <c r="B39" s="364" t="s">
        <v>1546</v>
      </c>
      <c r="C39" s="365"/>
      <c r="D39" s="426" t="s">
        <v>975</v>
      </c>
      <c r="E39" s="368">
        <f t="shared" si="4"/>
        <v>0</v>
      </c>
      <c r="F39" s="368">
        <f t="shared" si="5"/>
        <v>0</v>
      </c>
      <c r="G39" s="375"/>
      <c r="H39" s="368"/>
    </row>
    <row r="40" spans="1:8" ht="15" customHeight="1">
      <c r="A40" s="363"/>
      <c r="B40" s="364" t="s">
        <v>1547</v>
      </c>
      <c r="C40" s="365"/>
      <c r="D40" s="426" t="s">
        <v>976</v>
      </c>
      <c r="E40" s="368">
        <f t="shared" si="4"/>
        <v>0</v>
      </c>
      <c r="F40" s="368">
        <f t="shared" si="5"/>
        <v>0</v>
      </c>
      <c r="G40" s="375"/>
      <c r="H40" s="368"/>
    </row>
    <row r="41" spans="1:8" ht="15" customHeight="1">
      <c r="A41" s="363"/>
      <c r="B41" s="364" t="s">
        <v>1548</v>
      </c>
      <c r="C41" s="365"/>
      <c r="D41" s="426" t="s">
        <v>977</v>
      </c>
      <c r="E41" s="368">
        <f t="shared" si="4"/>
        <v>0</v>
      </c>
      <c r="F41" s="368">
        <f t="shared" si="5"/>
        <v>0</v>
      </c>
      <c r="G41" s="375"/>
      <c r="H41" s="368"/>
    </row>
    <row r="42" spans="1:8" ht="15" customHeight="1">
      <c r="A42" s="363"/>
      <c r="B42" s="364" t="s">
        <v>1549</v>
      </c>
      <c r="C42" s="365"/>
      <c r="D42" s="426" t="s">
        <v>978</v>
      </c>
      <c r="E42" s="368">
        <f t="shared" si="4"/>
        <v>0</v>
      </c>
      <c r="F42" s="368">
        <f t="shared" si="5"/>
        <v>0</v>
      </c>
      <c r="G42" s="375"/>
      <c r="H42" s="368"/>
    </row>
    <row r="43" spans="1:8" ht="15.75" customHeight="1">
      <c r="A43" s="363"/>
      <c r="B43" s="364" t="s">
        <v>1550</v>
      </c>
      <c r="C43" s="365"/>
      <c r="D43" s="427" t="s">
        <v>979</v>
      </c>
      <c r="E43" s="368">
        <f t="shared" si="4"/>
        <v>0</v>
      </c>
      <c r="F43" s="368">
        <f t="shared" si="5"/>
        <v>0</v>
      </c>
      <c r="G43" s="375"/>
      <c r="H43" s="368"/>
    </row>
    <row r="44" spans="1:8" ht="15" customHeight="1">
      <c r="A44" s="363"/>
      <c r="B44" s="364" t="s">
        <v>1551</v>
      </c>
      <c r="C44" s="365"/>
      <c r="D44" s="426" t="s">
        <v>980</v>
      </c>
      <c r="E44" s="368">
        <f t="shared" si="4"/>
        <v>0</v>
      </c>
      <c r="F44" s="368">
        <f t="shared" si="5"/>
        <v>0</v>
      </c>
      <c r="G44" s="375"/>
      <c r="H44" s="368"/>
    </row>
    <row r="45" spans="1:8" ht="15" customHeight="1">
      <c r="A45" s="363"/>
      <c r="B45" s="364" t="s">
        <v>1552</v>
      </c>
      <c r="C45" s="365"/>
      <c r="D45" s="426" t="s">
        <v>981</v>
      </c>
      <c r="E45" s="368">
        <f t="shared" si="4"/>
        <v>0</v>
      </c>
      <c r="F45" s="368">
        <f t="shared" si="5"/>
        <v>0</v>
      </c>
      <c r="G45" s="375"/>
      <c r="H45" s="368"/>
    </row>
    <row r="46" spans="1:8" ht="15" customHeight="1">
      <c r="A46" s="363"/>
      <c r="B46" s="364" t="s">
        <v>1553</v>
      </c>
      <c r="C46" s="365"/>
      <c r="D46" s="426" t="s">
        <v>982</v>
      </c>
      <c r="E46" s="368">
        <f t="shared" si="4"/>
        <v>0</v>
      </c>
      <c r="F46" s="368">
        <f t="shared" si="5"/>
        <v>0</v>
      </c>
      <c r="G46" s="375"/>
      <c r="H46" s="368"/>
    </row>
    <row r="47" spans="1:8" ht="15" customHeight="1">
      <c r="A47" s="363"/>
      <c r="B47" s="364" t="s">
        <v>1554</v>
      </c>
      <c r="C47" s="365"/>
      <c r="D47" s="426" t="s">
        <v>983</v>
      </c>
      <c r="E47" s="368">
        <f t="shared" si="4"/>
        <v>0</v>
      </c>
      <c r="F47" s="368">
        <f t="shared" si="5"/>
        <v>0</v>
      </c>
      <c r="G47" s="375"/>
      <c r="H47" s="368"/>
    </row>
    <row r="48" spans="1:8" ht="15" customHeight="1">
      <c r="A48" s="363"/>
      <c r="B48" s="364" t="s">
        <v>1555</v>
      </c>
      <c r="C48" s="365"/>
      <c r="D48" s="426" t="s">
        <v>984</v>
      </c>
      <c r="E48" s="368">
        <f t="shared" si="4"/>
        <v>0</v>
      </c>
      <c r="F48" s="368">
        <f t="shared" si="5"/>
        <v>0</v>
      </c>
      <c r="G48" s="375"/>
      <c r="H48" s="368"/>
    </row>
    <row r="49" spans="1:8" ht="15" customHeight="1">
      <c r="A49" s="363"/>
      <c r="B49" s="364" t="s">
        <v>1556</v>
      </c>
      <c r="C49" s="365"/>
      <c r="D49" s="426" t="s">
        <v>985</v>
      </c>
      <c r="E49" s="368">
        <f t="shared" si="4"/>
        <v>0</v>
      </c>
      <c r="F49" s="368">
        <f t="shared" si="5"/>
        <v>0</v>
      </c>
      <c r="G49" s="375"/>
      <c r="H49" s="368"/>
    </row>
    <row r="50" spans="1:8" ht="15" customHeight="1">
      <c r="A50" s="363"/>
      <c r="B50" s="364" t="s">
        <v>1557</v>
      </c>
      <c r="C50" s="365"/>
      <c r="D50" s="426" t="s">
        <v>986</v>
      </c>
      <c r="E50" s="368">
        <f t="shared" si="4"/>
        <v>0</v>
      </c>
      <c r="F50" s="368">
        <f t="shared" si="5"/>
        <v>0</v>
      </c>
      <c r="G50" s="375"/>
      <c r="H50" s="368"/>
    </row>
    <row r="51" spans="1:8" ht="15" customHeight="1">
      <c r="A51" s="363"/>
      <c r="B51" s="364" t="s">
        <v>1558</v>
      </c>
      <c r="C51" s="365"/>
      <c r="D51" s="426" t="s">
        <v>987</v>
      </c>
      <c r="E51" s="368">
        <f t="shared" si="4"/>
        <v>0</v>
      </c>
      <c r="F51" s="368">
        <f t="shared" si="5"/>
        <v>0</v>
      </c>
      <c r="G51" s="375"/>
      <c r="H51" s="368"/>
    </row>
    <row r="52" spans="1:8" ht="15" customHeight="1">
      <c r="A52" s="363"/>
      <c r="B52" s="364" t="s">
        <v>1559</v>
      </c>
      <c r="C52" s="365"/>
      <c r="D52" s="426" t="s">
        <v>988</v>
      </c>
      <c r="E52" s="368">
        <f t="shared" si="4"/>
        <v>0</v>
      </c>
      <c r="F52" s="368">
        <f t="shared" si="5"/>
        <v>0</v>
      </c>
      <c r="G52" s="375"/>
      <c r="H52" s="368"/>
    </row>
    <row r="53" spans="1:8" ht="15" customHeight="1">
      <c r="A53" s="363"/>
      <c r="B53" s="364" t="s">
        <v>1560</v>
      </c>
      <c r="C53" s="365"/>
      <c r="D53" s="426" t="s">
        <v>989</v>
      </c>
      <c r="E53" s="368">
        <f t="shared" si="4"/>
        <v>0</v>
      </c>
      <c r="F53" s="368">
        <f t="shared" si="5"/>
        <v>0</v>
      </c>
      <c r="G53" s="375"/>
      <c r="H53" s="368"/>
    </row>
    <row r="54" spans="1:8" ht="15" customHeight="1">
      <c r="A54" s="363"/>
      <c r="B54" s="364" t="s">
        <v>1561</v>
      </c>
      <c r="C54" s="365"/>
      <c r="D54" s="426" t="s">
        <v>990</v>
      </c>
      <c r="E54" s="368">
        <f t="shared" si="4"/>
        <v>0</v>
      </c>
      <c r="F54" s="368">
        <f t="shared" si="5"/>
        <v>0</v>
      </c>
      <c r="G54" s="375"/>
      <c r="H54" s="368"/>
    </row>
    <row r="55" spans="1:8" ht="15" customHeight="1">
      <c r="A55" s="363"/>
      <c r="B55" s="364" t="s">
        <v>1562</v>
      </c>
      <c r="C55" s="365"/>
      <c r="D55" s="426" t="s">
        <v>991</v>
      </c>
      <c r="E55" s="368">
        <f t="shared" si="4"/>
        <v>0</v>
      </c>
      <c r="F55" s="368">
        <f t="shared" si="5"/>
        <v>0</v>
      </c>
      <c r="G55" s="375"/>
      <c r="H55" s="368"/>
    </row>
    <row r="56" spans="1:8" ht="15" customHeight="1">
      <c r="A56" s="363"/>
      <c r="B56" s="364" t="s">
        <v>1563</v>
      </c>
      <c r="C56" s="365"/>
      <c r="D56" s="426" t="s">
        <v>992</v>
      </c>
      <c r="E56" s="368">
        <f t="shared" si="4"/>
        <v>0</v>
      </c>
      <c r="F56" s="368">
        <f t="shared" si="5"/>
        <v>0</v>
      </c>
      <c r="G56" s="375"/>
      <c r="H56" s="368"/>
    </row>
    <row r="57" spans="1:8" ht="15" customHeight="1">
      <c r="A57" s="363"/>
      <c r="B57" s="364" t="s">
        <v>1564</v>
      </c>
      <c r="C57" s="365"/>
      <c r="D57" s="426" t="s">
        <v>993</v>
      </c>
      <c r="E57" s="368">
        <f t="shared" si="4"/>
        <v>0</v>
      </c>
      <c r="F57" s="368">
        <f t="shared" si="5"/>
        <v>0</v>
      </c>
      <c r="G57" s="375"/>
      <c r="H57" s="368"/>
    </row>
    <row r="58" spans="1:8" ht="15" customHeight="1">
      <c r="A58" s="363"/>
      <c r="B58" s="364" t="s">
        <v>1565</v>
      </c>
      <c r="C58" s="365"/>
      <c r="D58" s="369" t="s">
        <v>994</v>
      </c>
      <c r="E58" s="368">
        <f t="shared" si="4"/>
        <v>0</v>
      </c>
      <c r="F58" s="368">
        <f t="shared" si="5"/>
        <v>0</v>
      </c>
      <c r="G58" s="375"/>
      <c r="H58" s="368"/>
    </row>
    <row r="59" spans="1:8" ht="15" customHeight="1" hidden="1">
      <c r="A59" s="363"/>
      <c r="B59" s="364"/>
      <c r="C59" s="365"/>
      <c r="D59" s="426"/>
      <c r="E59" s="368"/>
      <c r="F59" s="368"/>
      <c r="G59" s="375"/>
      <c r="H59" s="368"/>
    </row>
    <row r="60" spans="1:8" ht="15" customHeight="1" hidden="1">
      <c r="A60" s="363"/>
      <c r="B60" s="364"/>
      <c r="C60" s="365"/>
      <c r="D60" s="426"/>
      <c r="E60" s="368"/>
      <c r="F60" s="368"/>
      <c r="G60" s="375"/>
      <c r="H60" s="368"/>
    </row>
    <row r="61" spans="1:8" ht="15" customHeight="1" hidden="1">
      <c r="A61" s="363"/>
      <c r="B61" s="364"/>
      <c r="C61" s="365"/>
      <c r="D61" s="426"/>
      <c r="E61" s="368"/>
      <c r="F61" s="368"/>
      <c r="G61" s="375"/>
      <c r="H61" s="368"/>
    </row>
    <row r="62" spans="1:10" ht="15" customHeight="1">
      <c r="A62" s="363"/>
      <c r="B62" s="370" t="s">
        <v>1566</v>
      </c>
      <c r="C62" s="365"/>
      <c r="D62" s="372" t="s">
        <v>1146</v>
      </c>
      <c r="E62" s="374">
        <f>SUM(E63:E90)</f>
        <v>16960</v>
      </c>
      <c r="F62" s="374">
        <f>SUM(F63:F90)</f>
        <v>4240</v>
      </c>
      <c r="G62" s="374">
        <f>SUM(G63:G90)</f>
        <v>0</v>
      </c>
      <c r="H62" s="374">
        <f>SUM(H63:H90)</f>
        <v>21200</v>
      </c>
      <c r="J62" s="390">
        <f>SUM(E62+F62)</f>
        <v>21200</v>
      </c>
    </row>
    <row r="63" spans="1:8" ht="15" customHeight="1">
      <c r="A63" s="363"/>
      <c r="B63" s="364" t="s">
        <v>1567</v>
      </c>
      <c r="C63" s="365"/>
      <c r="D63" s="369" t="s">
        <v>995</v>
      </c>
      <c r="E63" s="368">
        <f aca="true" t="shared" si="6" ref="E63:E90">SUM(H63-F63)</f>
        <v>240</v>
      </c>
      <c r="F63" s="368">
        <f aca="true" t="shared" si="7" ref="F63:F90">SUM(H63*0.2)</f>
        <v>60</v>
      </c>
      <c r="G63" s="375"/>
      <c r="H63" s="368">
        <v>300</v>
      </c>
    </row>
    <row r="64" spans="1:8" ht="15" customHeight="1">
      <c r="A64" s="363"/>
      <c r="B64" s="364" t="s">
        <v>1568</v>
      </c>
      <c r="C64" s="365"/>
      <c r="D64" s="369" t="s">
        <v>1147</v>
      </c>
      <c r="E64" s="368">
        <f t="shared" si="6"/>
        <v>0</v>
      </c>
      <c r="F64" s="368">
        <f t="shared" si="7"/>
        <v>0</v>
      </c>
      <c r="G64" s="375"/>
      <c r="H64" s="368"/>
    </row>
    <row r="65" spans="1:8" ht="15" customHeight="1">
      <c r="A65" s="363"/>
      <c r="B65" s="364" t="s">
        <v>1569</v>
      </c>
      <c r="C65" s="365"/>
      <c r="D65" s="369" t="s">
        <v>1154</v>
      </c>
      <c r="E65" s="368">
        <f t="shared" si="6"/>
        <v>0</v>
      </c>
      <c r="F65" s="368">
        <f t="shared" si="7"/>
        <v>0</v>
      </c>
      <c r="G65" s="375"/>
      <c r="H65" s="368"/>
    </row>
    <row r="66" spans="1:8" ht="15" customHeight="1">
      <c r="A66" s="363"/>
      <c r="B66" s="364" t="s">
        <v>1570</v>
      </c>
      <c r="C66" s="365"/>
      <c r="D66" s="369" t="s">
        <v>1148</v>
      </c>
      <c r="E66" s="368">
        <f t="shared" si="6"/>
        <v>0</v>
      </c>
      <c r="F66" s="368">
        <f t="shared" si="7"/>
        <v>0</v>
      </c>
      <c r="G66" s="375"/>
      <c r="H66" s="368"/>
    </row>
    <row r="67" spans="1:8" ht="15" customHeight="1">
      <c r="A67" s="363"/>
      <c r="B67" s="364" t="s">
        <v>1571</v>
      </c>
      <c r="C67" s="365"/>
      <c r="D67" s="369" t="s">
        <v>996</v>
      </c>
      <c r="E67" s="368">
        <f t="shared" si="6"/>
        <v>1600</v>
      </c>
      <c r="F67" s="368">
        <f t="shared" si="7"/>
        <v>400</v>
      </c>
      <c r="G67" s="375"/>
      <c r="H67" s="368">
        <v>2000</v>
      </c>
    </row>
    <row r="68" spans="1:8" ht="15" customHeight="1">
      <c r="A68" s="363"/>
      <c r="B68" s="364" t="s">
        <v>1572</v>
      </c>
      <c r="C68" s="365"/>
      <c r="D68" s="369" t="s">
        <v>997</v>
      </c>
      <c r="E68" s="368">
        <f t="shared" si="6"/>
        <v>1600</v>
      </c>
      <c r="F68" s="368">
        <f t="shared" si="7"/>
        <v>400</v>
      </c>
      <c r="G68" s="375"/>
      <c r="H68" s="368">
        <v>2000</v>
      </c>
    </row>
    <row r="69" spans="1:8" ht="15" customHeight="1">
      <c r="A69" s="363"/>
      <c r="B69" s="364" t="s">
        <v>1573</v>
      </c>
      <c r="C69" s="365"/>
      <c r="D69" s="369" t="s">
        <v>998</v>
      </c>
      <c r="E69" s="368">
        <f t="shared" si="6"/>
        <v>1600</v>
      </c>
      <c r="F69" s="368">
        <f t="shared" si="7"/>
        <v>400</v>
      </c>
      <c r="G69" s="375"/>
      <c r="H69" s="368">
        <v>2000</v>
      </c>
    </row>
    <row r="70" spans="1:8" ht="15" customHeight="1">
      <c r="A70" s="363"/>
      <c r="B70" s="364" t="s">
        <v>1574</v>
      </c>
      <c r="C70" s="365"/>
      <c r="D70" s="369" t="s">
        <v>999</v>
      </c>
      <c r="E70" s="368">
        <f t="shared" si="6"/>
        <v>7200</v>
      </c>
      <c r="F70" s="368">
        <f t="shared" si="7"/>
        <v>1800</v>
      </c>
      <c r="G70" s="375"/>
      <c r="H70" s="368">
        <v>9000</v>
      </c>
    </row>
    <row r="71" spans="1:8" ht="15" customHeight="1">
      <c r="A71" s="363"/>
      <c r="B71" s="364" t="s">
        <v>1575</v>
      </c>
      <c r="C71" s="365"/>
      <c r="D71" s="369" t="s">
        <v>1000</v>
      </c>
      <c r="E71" s="368">
        <f t="shared" si="6"/>
        <v>480</v>
      </c>
      <c r="F71" s="368">
        <f t="shared" si="7"/>
        <v>120</v>
      </c>
      <c r="G71" s="375"/>
      <c r="H71" s="368">
        <v>600</v>
      </c>
    </row>
    <row r="72" spans="1:8" ht="15" customHeight="1">
      <c r="A72" s="363"/>
      <c r="B72" s="364" t="s">
        <v>1576</v>
      </c>
      <c r="C72" s="365"/>
      <c r="D72" s="369" t="s">
        <v>78</v>
      </c>
      <c r="E72" s="368">
        <f t="shared" si="6"/>
        <v>2400</v>
      </c>
      <c r="F72" s="368">
        <f t="shared" si="7"/>
        <v>600</v>
      </c>
      <c r="G72" s="375"/>
      <c r="H72" s="368">
        <v>3000</v>
      </c>
    </row>
    <row r="73" spans="1:8" ht="15" customHeight="1">
      <c r="A73" s="363"/>
      <c r="B73" s="364" t="s">
        <v>1577</v>
      </c>
      <c r="C73" s="365"/>
      <c r="D73" s="369" t="s">
        <v>1001</v>
      </c>
      <c r="E73" s="368">
        <f>SUM(H73-F73)</f>
        <v>400</v>
      </c>
      <c r="F73" s="368">
        <f>SUM(H73*0.2)</f>
        <v>100</v>
      </c>
      <c r="G73" s="375"/>
      <c r="H73" s="368">
        <v>500</v>
      </c>
    </row>
    <row r="74" spans="1:8" ht="15" customHeight="1">
      <c r="A74" s="363"/>
      <c r="B74" s="364" t="s">
        <v>1578</v>
      </c>
      <c r="C74" s="365"/>
      <c r="D74" s="369" t="s">
        <v>592</v>
      </c>
      <c r="E74" s="368">
        <f>SUM(H74-F74)</f>
        <v>1440</v>
      </c>
      <c r="F74" s="368">
        <f>SUM(H74*0.2)</f>
        <v>360</v>
      </c>
      <c r="G74" s="375"/>
      <c r="H74" s="368">
        <v>1800</v>
      </c>
    </row>
    <row r="75" spans="1:8" ht="15" customHeight="1">
      <c r="A75" s="363"/>
      <c r="B75" s="364" t="s">
        <v>1579</v>
      </c>
      <c r="C75" s="365"/>
      <c r="D75" s="393" t="s">
        <v>1145</v>
      </c>
      <c r="E75" s="368">
        <f t="shared" si="6"/>
        <v>0</v>
      </c>
      <c r="F75" s="368">
        <f t="shared" si="7"/>
        <v>0</v>
      </c>
      <c r="G75" s="394"/>
      <c r="H75" s="395"/>
    </row>
    <row r="76" spans="1:8" ht="15" customHeight="1">
      <c r="A76" s="363"/>
      <c r="B76" s="364" t="s">
        <v>1580</v>
      </c>
      <c r="C76" s="365"/>
      <c r="D76" s="369" t="s">
        <v>1002</v>
      </c>
      <c r="E76" s="368">
        <f t="shared" si="6"/>
        <v>0</v>
      </c>
      <c r="F76" s="368">
        <f t="shared" si="7"/>
        <v>0</v>
      </c>
      <c r="G76" s="375"/>
      <c r="H76" s="368"/>
    </row>
    <row r="77" spans="1:8" ht="15" customHeight="1">
      <c r="A77" s="363"/>
      <c r="B77" s="364" t="s">
        <v>1581</v>
      </c>
      <c r="C77" s="365"/>
      <c r="D77" s="369" t="s">
        <v>1003</v>
      </c>
      <c r="E77" s="368">
        <f t="shared" si="6"/>
        <v>0</v>
      </c>
      <c r="F77" s="368">
        <f t="shared" si="7"/>
        <v>0</v>
      </c>
      <c r="G77" s="375"/>
      <c r="H77" s="368"/>
    </row>
    <row r="78" spans="1:8" ht="15" customHeight="1">
      <c r="A78" s="363"/>
      <c r="B78" s="364" t="s">
        <v>1582</v>
      </c>
      <c r="C78" s="365"/>
      <c r="D78" s="369" t="s">
        <v>1149</v>
      </c>
      <c r="E78" s="368">
        <f t="shared" si="6"/>
        <v>0</v>
      </c>
      <c r="F78" s="368">
        <f t="shared" si="7"/>
        <v>0</v>
      </c>
      <c r="G78" s="375"/>
      <c r="H78" s="368"/>
    </row>
    <row r="79" spans="1:8" ht="15" customHeight="1">
      <c r="A79" s="363"/>
      <c r="B79" s="364" t="s">
        <v>1583</v>
      </c>
      <c r="C79" s="365"/>
      <c r="D79" s="369" t="s">
        <v>1150</v>
      </c>
      <c r="E79" s="368">
        <f t="shared" si="6"/>
        <v>0</v>
      </c>
      <c r="F79" s="368">
        <f t="shared" si="7"/>
        <v>0</v>
      </c>
      <c r="G79" s="375"/>
      <c r="H79" s="368"/>
    </row>
    <row r="80" spans="1:8" ht="15" customHeight="1">
      <c r="A80" s="428"/>
      <c r="B80" s="364" t="s">
        <v>1584</v>
      </c>
      <c r="C80" s="429"/>
      <c r="D80" s="393" t="s">
        <v>1004</v>
      </c>
      <c r="E80" s="368">
        <f t="shared" si="6"/>
        <v>0</v>
      </c>
      <c r="F80" s="368">
        <f t="shared" si="7"/>
        <v>0</v>
      </c>
      <c r="G80" s="394"/>
      <c r="H80" s="368"/>
    </row>
    <row r="81" spans="1:8" ht="15" customHeight="1">
      <c r="A81" s="363"/>
      <c r="B81" s="364" t="s">
        <v>1585</v>
      </c>
      <c r="C81" s="365"/>
      <c r="D81" s="369" t="s">
        <v>1005</v>
      </c>
      <c r="E81" s="368">
        <f t="shared" si="6"/>
        <v>0</v>
      </c>
      <c r="F81" s="368">
        <f t="shared" si="7"/>
        <v>0</v>
      </c>
      <c r="G81" s="375"/>
      <c r="H81" s="368"/>
    </row>
    <row r="82" spans="1:8" ht="15" customHeight="1">
      <c r="A82" s="363"/>
      <c r="B82" s="364" t="s">
        <v>1586</v>
      </c>
      <c r="C82" s="365"/>
      <c r="D82" s="369" t="s">
        <v>1006</v>
      </c>
      <c r="E82" s="368">
        <f t="shared" si="6"/>
        <v>0</v>
      </c>
      <c r="F82" s="368">
        <f t="shared" si="7"/>
        <v>0</v>
      </c>
      <c r="G82" s="375"/>
      <c r="H82" s="368"/>
    </row>
    <row r="83" spans="1:8" ht="15" customHeight="1">
      <c r="A83" s="363"/>
      <c r="B83" s="364" t="s">
        <v>1587</v>
      </c>
      <c r="C83" s="365"/>
      <c r="D83" s="369" t="s">
        <v>1007</v>
      </c>
      <c r="E83" s="368">
        <f t="shared" si="6"/>
        <v>0</v>
      </c>
      <c r="F83" s="368">
        <f t="shared" si="7"/>
        <v>0</v>
      </c>
      <c r="G83" s="375"/>
      <c r="H83" s="368"/>
    </row>
    <row r="84" spans="1:8" ht="15" customHeight="1">
      <c r="A84" s="363"/>
      <c r="B84" s="364" t="s">
        <v>1588</v>
      </c>
      <c r="C84" s="365"/>
      <c r="D84" s="369" t="s">
        <v>1008</v>
      </c>
      <c r="E84" s="368">
        <f t="shared" si="6"/>
        <v>0</v>
      </c>
      <c r="F84" s="368">
        <f t="shared" si="7"/>
        <v>0</v>
      </c>
      <c r="G84" s="375"/>
      <c r="H84" s="368"/>
    </row>
    <row r="85" spans="1:8" ht="15" customHeight="1">
      <c r="A85" s="363"/>
      <c r="B85" s="364" t="s">
        <v>1589</v>
      </c>
      <c r="C85" s="365"/>
      <c r="D85" s="369" t="s">
        <v>1009</v>
      </c>
      <c r="E85" s="368">
        <f t="shared" si="6"/>
        <v>0</v>
      </c>
      <c r="F85" s="368">
        <f t="shared" si="7"/>
        <v>0</v>
      </c>
      <c r="G85" s="375"/>
      <c r="H85" s="368"/>
    </row>
    <row r="86" spans="1:8" ht="15" customHeight="1">
      <c r="A86" s="363"/>
      <c r="B86" s="364" t="s">
        <v>1590</v>
      </c>
      <c r="C86" s="365"/>
      <c r="D86" s="369" t="s">
        <v>1010</v>
      </c>
      <c r="E86" s="368">
        <f t="shared" si="6"/>
        <v>0</v>
      </c>
      <c r="F86" s="368">
        <f t="shared" si="7"/>
        <v>0</v>
      </c>
      <c r="G86" s="375"/>
      <c r="H86" s="368"/>
    </row>
    <row r="87" spans="1:8" ht="15" customHeight="1">
      <c r="A87" s="363"/>
      <c r="B87" s="364" t="s">
        <v>1591</v>
      </c>
      <c r="C87" s="365"/>
      <c r="D87" s="369" t="s">
        <v>571</v>
      </c>
      <c r="E87" s="368">
        <f t="shared" si="6"/>
        <v>0</v>
      </c>
      <c r="F87" s="368">
        <f t="shared" si="7"/>
        <v>0</v>
      </c>
      <c r="G87" s="375"/>
      <c r="H87" s="368"/>
    </row>
    <row r="88" spans="1:8" ht="15" customHeight="1">
      <c r="A88" s="363"/>
      <c r="B88" s="364" t="s">
        <v>1592</v>
      </c>
      <c r="C88" s="365"/>
      <c r="D88" s="369" t="s">
        <v>1011</v>
      </c>
      <c r="E88" s="368">
        <f t="shared" si="6"/>
        <v>0</v>
      </c>
      <c r="F88" s="368">
        <f t="shared" si="7"/>
        <v>0</v>
      </c>
      <c r="G88" s="375"/>
      <c r="H88" s="368"/>
    </row>
    <row r="89" spans="1:8" ht="15" customHeight="1">
      <c r="A89" s="363"/>
      <c r="B89" s="364" t="s">
        <v>1593</v>
      </c>
      <c r="C89" s="365"/>
      <c r="D89" s="369" t="s">
        <v>594</v>
      </c>
      <c r="E89" s="368">
        <f t="shared" si="6"/>
        <v>0</v>
      </c>
      <c r="F89" s="368">
        <f t="shared" si="7"/>
        <v>0</v>
      </c>
      <c r="G89" s="375"/>
      <c r="H89" s="368"/>
    </row>
    <row r="90" spans="1:8" ht="15" customHeight="1">
      <c r="A90" s="363"/>
      <c r="B90" s="364" t="s">
        <v>1594</v>
      </c>
      <c r="C90" s="365"/>
      <c r="D90" s="369" t="s">
        <v>595</v>
      </c>
      <c r="E90" s="368">
        <f t="shared" si="6"/>
        <v>0</v>
      </c>
      <c r="F90" s="368">
        <f t="shared" si="7"/>
        <v>0</v>
      </c>
      <c r="G90" s="375"/>
      <c r="H90" s="368"/>
    </row>
    <row r="91" spans="1:10" ht="15.75">
      <c r="A91" s="358" t="s">
        <v>19</v>
      </c>
      <c r="B91" s="359"/>
      <c r="C91" s="360"/>
      <c r="D91" s="376" t="s">
        <v>1151</v>
      </c>
      <c r="E91" s="362">
        <f>SUM(E92+E99+E101+E97)</f>
        <v>23120</v>
      </c>
      <c r="F91" s="362">
        <f>SUM(F92+F99+F101+F97)</f>
        <v>5780</v>
      </c>
      <c r="G91" s="362" t="e">
        <f>SUM(G92+G99+G101+G97)</f>
        <v>#REF!</v>
      </c>
      <c r="H91" s="362">
        <f>SUM(H92+H99+H101+H97)</f>
        <v>28900</v>
      </c>
      <c r="J91" s="390">
        <f>SUM(E91+F91)</f>
        <v>28900</v>
      </c>
    </row>
    <row r="92" spans="1:8" ht="16.5">
      <c r="A92" s="377"/>
      <c r="B92" s="378" t="s">
        <v>20</v>
      </c>
      <c r="C92" s="365"/>
      <c r="D92" s="347" t="s">
        <v>345</v>
      </c>
      <c r="E92" s="380">
        <f>SUM(E93:E96)</f>
        <v>7120</v>
      </c>
      <c r="F92" s="380">
        <f>SUM(F93:F96)</f>
        <v>1780</v>
      </c>
      <c r="G92" s="380">
        <f>SUM(G93:G96)</f>
        <v>0</v>
      </c>
      <c r="H92" s="380">
        <f>SUM(H93:H96)</f>
        <v>8900</v>
      </c>
    </row>
    <row r="93" spans="1:8" ht="15.75">
      <c r="A93" s="377"/>
      <c r="B93" s="364" t="s">
        <v>144</v>
      </c>
      <c r="C93" s="365"/>
      <c r="D93" s="1019" t="s">
        <v>1153</v>
      </c>
      <c r="E93" s="368">
        <f>SUM(H93-F93)</f>
        <v>3200</v>
      </c>
      <c r="F93" s="368">
        <f>SUM(H93*0.2)</f>
        <v>800</v>
      </c>
      <c r="G93" s="367"/>
      <c r="H93" s="368">
        <v>4000</v>
      </c>
    </row>
    <row r="94" spans="1:8" ht="15.75">
      <c r="A94" s="377"/>
      <c r="B94" s="364" t="s">
        <v>186</v>
      </c>
      <c r="C94" s="365"/>
      <c r="D94" s="1019" t="s">
        <v>1012</v>
      </c>
      <c r="E94" s="368">
        <f>SUM(H94-F94)</f>
        <v>560</v>
      </c>
      <c r="F94" s="368">
        <f>SUM(H94*0.2)</f>
        <v>140</v>
      </c>
      <c r="G94" s="367"/>
      <c r="H94" s="368">
        <v>700</v>
      </c>
    </row>
    <row r="95" spans="1:8" ht="15.75">
      <c r="A95" s="377"/>
      <c r="B95" s="364" t="s">
        <v>145</v>
      </c>
      <c r="C95" s="365"/>
      <c r="D95" s="1019" t="s">
        <v>1013</v>
      </c>
      <c r="E95" s="368">
        <f>SUM(H95-F95)</f>
        <v>400</v>
      </c>
      <c r="F95" s="368">
        <f>SUM(H95*0.2)</f>
        <v>100</v>
      </c>
      <c r="G95" s="367"/>
      <c r="H95" s="368">
        <v>500</v>
      </c>
    </row>
    <row r="96" spans="1:8" ht="15.75">
      <c r="A96" s="377"/>
      <c r="B96" s="364" t="s">
        <v>179</v>
      </c>
      <c r="C96" s="365"/>
      <c r="D96" s="426" t="s">
        <v>1014</v>
      </c>
      <c r="E96" s="368">
        <f>SUM(H96-F96)</f>
        <v>2960</v>
      </c>
      <c r="F96" s="368">
        <f>SUM(H96*0.2)</f>
        <v>740</v>
      </c>
      <c r="G96" s="375"/>
      <c r="H96" s="368">
        <v>3700</v>
      </c>
    </row>
    <row r="97" spans="1:8" ht="16.5">
      <c r="A97" s="363"/>
      <c r="B97" s="378" t="s">
        <v>44</v>
      </c>
      <c r="C97" s="365"/>
      <c r="D97" s="347" t="s">
        <v>1092</v>
      </c>
      <c r="E97" s="380">
        <f>SUM(E98:E98)</f>
        <v>800</v>
      </c>
      <c r="F97" s="380">
        <f>SUM(F98:F98)</f>
        <v>200</v>
      </c>
      <c r="G97" s="380">
        <f>SUM(G98:G98)</f>
        <v>0</v>
      </c>
      <c r="H97" s="380">
        <f>SUM(H98:H98)</f>
        <v>1000</v>
      </c>
    </row>
    <row r="98" spans="1:8" ht="16.5">
      <c r="A98" s="363"/>
      <c r="B98" s="364" t="s">
        <v>531</v>
      </c>
      <c r="C98" s="365"/>
      <c r="D98" s="369" t="s">
        <v>604</v>
      </c>
      <c r="E98" s="373">
        <f>SUM(H98-F98)</f>
        <v>800</v>
      </c>
      <c r="F98" s="373">
        <f>SUM(H98*0.2)</f>
        <v>200</v>
      </c>
      <c r="G98" s="340"/>
      <c r="H98" s="373">
        <v>1000</v>
      </c>
    </row>
    <row r="99" spans="1:8" ht="16.5">
      <c r="A99" s="363"/>
      <c r="B99" s="378" t="s">
        <v>45</v>
      </c>
      <c r="C99" s="365"/>
      <c r="D99" s="347" t="s">
        <v>1089</v>
      </c>
      <c r="E99" s="380">
        <f>SUM(E100:E100)</f>
        <v>800</v>
      </c>
      <c r="F99" s="380">
        <f>SUM(F100:F100)</f>
        <v>200</v>
      </c>
      <c r="G99" s="380" t="e">
        <f>SUM(G100:G100)</f>
        <v>#REF!</v>
      </c>
      <c r="H99" s="380">
        <f>SUM(H100:H100)</f>
        <v>1000</v>
      </c>
    </row>
    <row r="100" spans="1:8" ht="15">
      <c r="A100" s="363"/>
      <c r="B100" s="364" t="s">
        <v>1091</v>
      </c>
      <c r="C100" s="365"/>
      <c r="D100" s="384" t="s">
        <v>593</v>
      </c>
      <c r="E100" s="373">
        <f>SUM(H100-F100)</f>
        <v>800</v>
      </c>
      <c r="F100" s="373">
        <f>SUM(H100*0.2)</f>
        <v>200</v>
      </c>
      <c r="G100" s="367" t="e">
        <f>#REF!*20%</f>
        <v>#REF!</v>
      </c>
      <c r="H100" s="367">
        <v>1000</v>
      </c>
    </row>
    <row r="101" spans="1:8" ht="16.5">
      <c r="A101" s="363"/>
      <c r="B101" s="378" t="s">
        <v>45</v>
      </c>
      <c r="C101" s="385"/>
      <c r="D101" s="347" t="s">
        <v>708</v>
      </c>
      <c r="E101" s="380">
        <f>SUM(E102:E115)</f>
        <v>14400</v>
      </c>
      <c r="F101" s="380">
        <f>SUM(F102:F115)</f>
        <v>3600</v>
      </c>
      <c r="G101" s="380">
        <f>SUM(G102:G115)</f>
        <v>0</v>
      </c>
      <c r="H101" s="380">
        <f>SUM(H102:H115)</f>
        <v>18000</v>
      </c>
    </row>
    <row r="102" spans="1:8" ht="15.75">
      <c r="A102" s="363"/>
      <c r="B102" s="364" t="s">
        <v>1091</v>
      </c>
      <c r="C102" s="365"/>
      <c r="D102" s="369" t="s">
        <v>920</v>
      </c>
      <c r="E102" s="373">
        <f>SUM(H102-F102)</f>
        <v>2000</v>
      </c>
      <c r="F102" s="373">
        <f>SUM(H102*0.2)</f>
        <v>500</v>
      </c>
      <c r="G102" s="367"/>
      <c r="H102" s="367">
        <v>2500</v>
      </c>
    </row>
    <row r="103" spans="1:8" ht="15.75">
      <c r="A103" s="363"/>
      <c r="B103" s="364" t="s">
        <v>1504</v>
      </c>
      <c r="C103" s="365"/>
      <c r="D103" s="369" t="s">
        <v>921</v>
      </c>
      <c r="E103" s="373">
        <f aca="true" t="shared" si="8" ref="E103:E111">SUM(H103-F103)</f>
        <v>3040</v>
      </c>
      <c r="F103" s="373">
        <f aca="true" t="shared" si="9" ref="F103:F111">SUM(H103*0.2)</f>
        <v>760</v>
      </c>
      <c r="G103" s="367"/>
      <c r="H103" s="367">
        <v>3800</v>
      </c>
    </row>
    <row r="104" spans="1:8" ht="15.75">
      <c r="A104" s="363"/>
      <c r="B104" s="364" t="s">
        <v>1505</v>
      </c>
      <c r="C104" s="365"/>
      <c r="D104" s="369" t="s">
        <v>922</v>
      </c>
      <c r="E104" s="373">
        <f t="shared" si="8"/>
        <v>320</v>
      </c>
      <c r="F104" s="373">
        <f t="shared" si="9"/>
        <v>80</v>
      </c>
      <c r="G104" s="367"/>
      <c r="H104" s="367">
        <v>400</v>
      </c>
    </row>
    <row r="105" spans="1:8" ht="15.75">
      <c r="A105" s="363"/>
      <c r="B105" s="364" t="s">
        <v>1595</v>
      </c>
      <c r="C105" s="365"/>
      <c r="D105" s="369" t="s">
        <v>923</v>
      </c>
      <c r="E105" s="373">
        <f t="shared" si="8"/>
        <v>800</v>
      </c>
      <c r="F105" s="373">
        <f t="shared" si="9"/>
        <v>200</v>
      </c>
      <c r="G105" s="367"/>
      <c r="H105" s="367">
        <v>1000</v>
      </c>
    </row>
    <row r="106" spans="1:8" ht="15.75">
      <c r="A106" s="363"/>
      <c r="B106" s="364" t="s">
        <v>1596</v>
      </c>
      <c r="C106" s="365"/>
      <c r="D106" s="369" t="s">
        <v>924</v>
      </c>
      <c r="E106" s="373">
        <f t="shared" si="8"/>
        <v>240</v>
      </c>
      <c r="F106" s="373">
        <f t="shared" si="9"/>
        <v>60</v>
      </c>
      <c r="G106" s="367"/>
      <c r="H106" s="367">
        <v>300</v>
      </c>
    </row>
    <row r="107" spans="1:8" ht="15.75">
      <c r="A107" s="363"/>
      <c r="B107" s="364" t="s">
        <v>1597</v>
      </c>
      <c r="C107" s="365"/>
      <c r="D107" s="369" t="s">
        <v>925</v>
      </c>
      <c r="E107" s="373">
        <f t="shared" si="8"/>
        <v>1040</v>
      </c>
      <c r="F107" s="373">
        <f t="shared" si="9"/>
        <v>260</v>
      </c>
      <c r="G107" s="367"/>
      <c r="H107" s="367">
        <v>1300</v>
      </c>
    </row>
    <row r="108" spans="1:8" ht="15.75">
      <c r="A108" s="363"/>
      <c r="B108" s="364" t="s">
        <v>1598</v>
      </c>
      <c r="C108" s="365"/>
      <c r="D108" s="369" t="s">
        <v>926</v>
      </c>
      <c r="E108" s="373">
        <f t="shared" si="8"/>
        <v>560</v>
      </c>
      <c r="F108" s="373">
        <f t="shared" si="9"/>
        <v>140</v>
      </c>
      <c r="G108" s="367"/>
      <c r="H108" s="367">
        <v>700</v>
      </c>
    </row>
    <row r="109" spans="1:8" ht="15.75">
      <c r="A109" s="363"/>
      <c r="B109" s="364" t="s">
        <v>1599</v>
      </c>
      <c r="C109" s="365"/>
      <c r="D109" s="369" t="s">
        <v>927</v>
      </c>
      <c r="E109" s="373">
        <f t="shared" si="8"/>
        <v>1600</v>
      </c>
      <c r="F109" s="373">
        <f t="shared" si="9"/>
        <v>400</v>
      </c>
      <c r="G109" s="367"/>
      <c r="H109" s="367">
        <v>2000</v>
      </c>
    </row>
    <row r="110" spans="1:8" ht="15.75">
      <c r="A110" s="363"/>
      <c r="B110" s="364" t="s">
        <v>1600</v>
      </c>
      <c r="C110" s="365"/>
      <c r="D110" s="369" t="s">
        <v>928</v>
      </c>
      <c r="E110" s="373">
        <f t="shared" si="8"/>
        <v>3200</v>
      </c>
      <c r="F110" s="373">
        <f t="shared" si="9"/>
        <v>800</v>
      </c>
      <c r="G110" s="367"/>
      <c r="H110" s="367">
        <v>4000</v>
      </c>
    </row>
    <row r="111" spans="1:8" ht="15.75">
      <c r="A111" s="363"/>
      <c r="B111" s="364" t="s">
        <v>1601</v>
      </c>
      <c r="C111" s="365"/>
      <c r="D111" s="369" t="s">
        <v>929</v>
      </c>
      <c r="E111" s="373">
        <f t="shared" si="8"/>
        <v>160</v>
      </c>
      <c r="F111" s="373">
        <f t="shared" si="9"/>
        <v>40</v>
      </c>
      <c r="G111" s="367"/>
      <c r="H111" s="367">
        <v>200</v>
      </c>
    </row>
    <row r="112" spans="1:8" ht="15">
      <c r="A112" s="363"/>
      <c r="B112" s="364" t="s">
        <v>1602</v>
      </c>
      <c r="C112" s="365"/>
      <c r="D112" s="381" t="s">
        <v>930</v>
      </c>
      <c r="E112" s="373">
        <f>SUM(H112-F112)</f>
        <v>80</v>
      </c>
      <c r="F112" s="373">
        <f>SUM(H112*0.2)</f>
        <v>20</v>
      </c>
      <c r="G112" s="367"/>
      <c r="H112" s="367">
        <v>100</v>
      </c>
    </row>
    <row r="113" spans="1:8" ht="15">
      <c r="A113" s="363"/>
      <c r="B113" s="364" t="s">
        <v>1603</v>
      </c>
      <c r="C113" s="365"/>
      <c r="D113" s="381" t="s">
        <v>931</v>
      </c>
      <c r="E113" s="373">
        <f>SUM(H113-F113)</f>
        <v>560</v>
      </c>
      <c r="F113" s="373">
        <f>SUM(H113*0.2)</f>
        <v>140</v>
      </c>
      <c r="G113" s="367"/>
      <c r="H113" s="367">
        <v>700</v>
      </c>
    </row>
    <row r="114" spans="1:8" ht="15">
      <c r="A114" s="363"/>
      <c r="B114" s="364" t="s">
        <v>1604</v>
      </c>
      <c r="C114" s="365"/>
      <c r="D114" s="381" t="s">
        <v>932</v>
      </c>
      <c r="E114" s="373">
        <f>SUM(H114-F114)</f>
        <v>800</v>
      </c>
      <c r="F114" s="373">
        <f>SUM(H114*0.2)</f>
        <v>200</v>
      </c>
      <c r="G114" s="367"/>
      <c r="H114" s="367">
        <v>1000</v>
      </c>
    </row>
    <row r="115" spans="1:8" ht="15">
      <c r="A115" s="363"/>
      <c r="B115" s="364" t="s">
        <v>1605</v>
      </c>
      <c r="C115" s="365"/>
      <c r="D115" s="381" t="s">
        <v>605</v>
      </c>
      <c r="E115" s="367"/>
      <c r="F115" s="367"/>
      <c r="G115" s="367"/>
      <c r="H115" s="367"/>
    </row>
    <row r="116" spans="1:10" ht="19.5" customHeight="1">
      <c r="A116" s="388"/>
      <c r="B116" s="359"/>
      <c r="C116" s="360"/>
      <c r="D116" s="376" t="s">
        <v>1152</v>
      </c>
      <c r="E116" s="389">
        <f>SUM(E91+E3)</f>
        <v>40080</v>
      </c>
      <c r="F116" s="389">
        <f>SUM(F91+F3)</f>
        <v>10020</v>
      </c>
      <c r="G116" s="389" t="e">
        <f>SUM(G91+G3)</f>
        <v>#REF!</v>
      </c>
      <c r="H116" s="389">
        <f>SUM(H91+H3)</f>
        <v>50100</v>
      </c>
      <c r="J116" s="390">
        <f>SUM(E116+F116)</f>
        <v>50100</v>
      </c>
    </row>
    <row r="119" spans="5:8" ht="12.75">
      <c r="E119" s="390"/>
      <c r="F119" s="390"/>
      <c r="G119" s="390"/>
      <c r="H119" s="390"/>
    </row>
  </sheetData>
  <sheetProtection/>
  <mergeCells count="2">
    <mergeCell ref="E1:H1"/>
    <mergeCell ref="A2:C2"/>
  </mergeCells>
  <printOptions horizontalCentered="1"/>
  <pageMargins left="0.1968503937007874" right="0.1968503937007874" top="0.92" bottom="0.5905511811023623" header="0.32" footer="0.5118110236220472"/>
  <pageSetup firstPageNumber="75" useFirstPageNumber="1" horizontalDpi="600" verticalDpi="600" orientation="portrait" paperSize="9" scale="95" r:id="rId1"/>
  <headerFooter alignWithMargins="0">
    <oddHeader>&amp;C&amp;"Times New Roman,Félkövér"&amp;14
Vecsés Város Önkormányzat 2011. évi  tervezett fejlesztési kiadások feladatonként&amp;R6.számú melléklet
ezer Ft</oddHeader>
    <oddFooter>&amp;C- &amp;P -</oddFooter>
  </headerFooter>
  <rowBreaks count="2" manualBreakCount="2">
    <brk id="45" max="17" man="1"/>
    <brk id="9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8"/>
  <sheetViews>
    <sheetView view="pageBreakPreview" zoomScaleNormal="110" zoomScaleSheetLayoutView="100" zoomScalePageLayoutView="0" workbookViewId="0" topLeftCell="A77">
      <selection activeCell="B85" sqref="B85:C103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3" width="6.8515625" style="0" customWidth="1"/>
    <col min="4" max="4" width="54.140625" style="0" customWidth="1"/>
    <col min="5" max="6" width="13.421875" style="0" hidden="1" customWidth="1"/>
    <col min="7" max="8" width="12.28125" style="0" hidden="1" customWidth="1"/>
    <col min="9" max="9" width="12.28125" style="0" customWidth="1"/>
  </cols>
  <sheetData>
    <row r="1" spans="1:9" ht="48" customHeight="1">
      <c r="A1" s="1148" t="s">
        <v>9</v>
      </c>
      <c r="B1" s="1149"/>
      <c r="C1" s="1149"/>
      <c r="D1" s="408" t="s">
        <v>10</v>
      </c>
      <c r="E1" s="409" t="s">
        <v>11</v>
      </c>
      <c r="F1" s="409" t="s">
        <v>1445</v>
      </c>
      <c r="G1" s="409" t="s">
        <v>501</v>
      </c>
      <c r="H1" s="409" t="s">
        <v>1059</v>
      </c>
      <c r="I1" s="409" t="s">
        <v>1133</v>
      </c>
    </row>
    <row r="2" spans="1:9" ht="17.25" customHeight="1">
      <c r="A2" s="410" t="s">
        <v>14</v>
      </c>
      <c r="B2" s="148"/>
      <c r="C2" s="149"/>
      <c r="D2" s="136" t="s">
        <v>721</v>
      </c>
      <c r="E2" s="137" t="e">
        <f>SUM(E3+#REF!+#REF!+#REF!)</f>
        <v>#REF!</v>
      </c>
      <c r="F2" s="137" t="e">
        <f>SUM(F3+#REF!+#REF!+#REF!)</f>
        <v>#REF!</v>
      </c>
      <c r="G2" s="137" t="e">
        <f>SUM(G3+#REF!+#REF!+#REF!)</f>
        <v>#REF!</v>
      </c>
      <c r="H2" s="137" t="e">
        <f>SUM(H3+#REF!+#REF!+#REF!)</f>
        <v>#REF!</v>
      </c>
      <c r="I2" s="137">
        <f>SUM(I3)</f>
        <v>5000</v>
      </c>
    </row>
    <row r="3" spans="1:10" ht="17.25" customHeight="1">
      <c r="A3" s="410"/>
      <c r="B3" s="138" t="s">
        <v>16</v>
      </c>
      <c r="C3" s="135"/>
      <c r="D3" s="140" t="s">
        <v>722</v>
      </c>
      <c r="E3" s="141">
        <v>28633</v>
      </c>
      <c r="F3" s="141">
        <v>5000</v>
      </c>
      <c r="G3" s="141" t="e">
        <f>SUM(G4+#REF!)</f>
        <v>#REF!</v>
      </c>
      <c r="H3" s="141" t="e">
        <f>SUM(H4+#REF!)</f>
        <v>#REF!</v>
      </c>
      <c r="I3" s="141">
        <f>SUM(I4)</f>
        <v>5000</v>
      </c>
      <c r="J3" s="25"/>
    </row>
    <row r="4" spans="1:9" s="52" customFormat="1" ht="15">
      <c r="A4" s="412"/>
      <c r="B4" s="283"/>
      <c r="C4" s="142" t="s">
        <v>309</v>
      </c>
      <c r="D4" s="143" t="s">
        <v>1409</v>
      </c>
      <c r="E4" s="150"/>
      <c r="F4" s="150">
        <f>SUM(F15:F21)</f>
        <v>2000</v>
      </c>
      <c r="G4" s="150">
        <f>SUM(G5:G8)</f>
        <v>1800</v>
      </c>
      <c r="H4" s="272">
        <f>SUM(H5:H8)</f>
        <v>2000</v>
      </c>
      <c r="I4" s="272">
        <f>SUM(I5+I8)</f>
        <v>5000</v>
      </c>
    </row>
    <row r="5" spans="1:9" s="121" customFormat="1" ht="17.25" customHeight="1">
      <c r="A5" s="411"/>
      <c r="B5" s="163"/>
      <c r="C5" s="164" t="s">
        <v>1389</v>
      </c>
      <c r="D5" s="254" t="s">
        <v>289</v>
      </c>
      <c r="E5" s="150"/>
      <c r="F5" s="150"/>
      <c r="G5" s="150">
        <v>800</v>
      </c>
      <c r="H5" s="272">
        <v>800</v>
      </c>
      <c r="I5" s="272">
        <v>4000</v>
      </c>
    </row>
    <row r="6" spans="1:9" s="121" customFormat="1" ht="17.25" customHeight="1">
      <c r="A6" s="411"/>
      <c r="B6" s="163"/>
      <c r="C6" s="164" t="s">
        <v>1398</v>
      </c>
      <c r="D6" s="165" t="s">
        <v>1069</v>
      </c>
      <c r="E6" s="150"/>
      <c r="F6" s="150">
        <v>150</v>
      </c>
      <c r="G6" s="150">
        <v>0</v>
      </c>
      <c r="H6" s="272">
        <v>400</v>
      </c>
      <c r="I6" s="272"/>
    </row>
    <row r="7" spans="1:9" ht="12.75">
      <c r="A7" s="411"/>
      <c r="B7" s="163"/>
      <c r="C7" s="164" t="s">
        <v>1399</v>
      </c>
      <c r="D7" s="254" t="s">
        <v>290</v>
      </c>
      <c r="E7" s="150"/>
      <c r="F7" s="150"/>
      <c r="G7" s="150">
        <v>500</v>
      </c>
      <c r="H7" s="272">
        <v>500</v>
      </c>
      <c r="I7" s="272"/>
    </row>
    <row r="8" spans="1:9" s="121" customFormat="1" ht="18" customHeight="1">
      <c r="A8" s="411"/>
      <c r="B8" s="163"/>
      <c r="C8" s="164" t="s">
        <v>1400</v>
      </c>
      <c r="D8" s="254" t="s">
        <v>606</v>
      </c>
      <c r="E8" s="150"/>
      <c r="F8" s="150"/>
      <c r="G8" s="150">
        <v>500</v>
      </c>
      <c r="H8" s="272">
        <v>300</v>
      </c>
      <c r="I8" s="272">
        <v>1000</v>
      </c>
    </row>
    <row r="9" spans="1:9" s="121" customFormat="1" ht="25.5" customHeight="1" hidden="1">
      <c r="A9" s="411"/>
      <c r="B9" s="163"/>
      <c r="C9" s="164" t="s">
        <v>1414</v>
      </c>
      <c r="D9" s="165" t="s">
        <v>1412</v>
      </c>
      <c r="E9" s="150"/>
      <c r="F9" s="150"/>
      <c r="G9" s="150"/>
      <c r="H9" s="272"/>
      <c r="I9" s="272"/>
    </row>
    <row r="10" spans="1:9" s="121" customFormat="1" ht="17.25" customHeight="1" hidden="1">
      <c r="A10" s="411"/>
      <c r="B10" s="163"/>
      <c r="C10" s="164" t="s">
        <v>1415</v>
      </c>
      <c r="D10" s="165" t="s">
        <v>1413</v>
      </c>
      <c r="E10" s="150"/>
      <c r="F10" s="150">
        <v>300</v>
      </c>
      <c r="G10" s="150">
        <v>0</v>
      </c>
      <c r="H10" s="272"/>
      <c r="I10" s="272"/>
    </row>
    <row r="11" spans="1:9" s="121" customFormat="1" ht="17.25" customHeight="1" hidden="1">
      <c r="A11" s="411"/>
      <c r="B11" s="163"/>
      <c r="C11" s="164" t="s">
        <v>1416</v>
      </c>
      <c r="D11" s="165" t="s">
        <v>1420</v>
      </c>
      <c r="E11" s="150"/>
      <c r="F11" s="150">
        <v>200</v>
      </c>
      <c r="G11" s="150">
        <v>0</v>
      </c>
      <c r="H11" s="272"/>
      <c r="I11" s="272"/>
    </row>
    <row r="12" spans="1:9" s="121" customFormat="1" ht="27.75" customHeight="1" hidden="1">
      <c r="A12" s="411"/>
      <c r="B12" s="163"/>
      <c r="C12" s="164" t="s">
        <v>1417</v>
      </c>
      <c r="D12" s="165" t="s">
        <v>1421</v>
      </c>
      <c r="E12" s="150"/>
      <c r="F12" s="150"/>
      <c r="G12" s="150"/>
      <c r="H12" s="272"/>
      <c r="I12" s="272"/>
    </row>
    <row r="13" spans="1:9" s="121" customFormat="1" ht="25.5" customHeight="1" hidden="1">
      <c r="A13" s="411"/>
      <c r="B13" s="163"/>
      <c r="C13" s="164" t="s">
        <v>1418</v>
      </c>
      <c r="D13" s="165" t="s">
        <v>1422</v>
      </c>
      <c r="E13" s="150"/>
      <c r="F13" s="150"/>
      <c r="G13" s="150"/>
      <c r="H13" s="272"/>
      <c r="I13" s="272"/>
    </row>
    <row r="14" spans="1:9" s="121" customFormat="1" ht="17.25" customHeight="1" hidden="1">
      <c r="A14" s="411"/>
      <c r="B14" s="163"/>
      <c r="C14" s="164" t="s">
        <v>1419</v>
      </c>
      <c r="D14" s="165" t="s">
        <v>1423</v>
      </c>
      <c r="E14" s="150"/>
      <c r="F14" s="150"/>
      <c r="G14" s="150"/>
      <c r="H14" s="272"/>
      <c r="I14" s="272"/>
    </row>
    <row r="15" spans="1:9" s="121" customFormat="1" ht="17.25" customHeight="1" hidden="1">
      <c r="A15" s="411"/>
      <c r="B15" s="163"/>
      <c r="C15" s="166" t="s">
        <v>1389</v>
      </c>
      <c r="D15" s="195" t="s">
        <v>1391</v>
      </c>
      <c r="E15" s="150"/>
      <c r="F15" s="150">
        <v>400</v>
      </c>
      <c r="G15" s="150"/>
      <c r="H15" s="272"/>
      <c r="I15" s="272"/>
    </row>
    <row r="16" spans="1:9" s="121" customFormat="1" ht="17.25" customHeight="1" hidden="1">
      <c r="A16" s="411"/>
      <c r="B16" s="163"/>
      <c r="C16" s="166" t="s">
        <v>1398</v>
      </c>
      <c r="D16" s="195" t="s">
        <v>1392</v>
      </c>
      <c r="E16" s="150"/>
      <c r="F16" s="150">
        <v>200</v>
      </c>
      <c r="G16" s="150"/>
      <c r="H16" s="272"/>
      <c r="I16" s="272"/>
    </row>
    <row r="17" spans="1:9" s="121" customFormat="1" ht="17.25" customHeight="1" hidden="1">
      <c r="A17" s="411"/>
      <c r="B17" s="163"/>
      <c r="C17" s="166" t="s">
        <v>1399</v>
      </c>
      <c r="D17" s="195" t="s">
        <v>1393</v>
      </c>
      <c r="E17" s="150"/>
      <c r="F17" s="150">
        <v>100</v>
      </c>
      <c r="G17" s="150"/>
      <c r="H17" s="272"/>
      <c r="I17" s="272"/>
    </row>
    <row r="18" spans="1:9" s="121" customFormat="1" ht="17.25" customHeight="1" hidden="1">
      <c r="A18" s="411"/>
      <c r="B18" s="163"/>
      <c r="C18" s="166" t="s">
        <v>1400</v>
      </c>
      <c r="D18" s="195" t="s">
        <v>1394</v>
      </c>
      <c r="E18" s="150"/>
      <c r="F18" s="150">
        <v>300</v>
      </c>
      <c r="G18" s="150"/>
      <c r="H18" s="272"/>
      <c r="I18" s="272"/>
    </row>
    <row r="19" spans="1:9" s="121" customFormat="1" ht="17.25" customHeight="1" hidden="1">
      <c r="A19" s="411"/>
      <c r="B19" s="163"/>
      <c r="C19" s="166" t="s">
        <v>1401</v>
      </c>
      <c r="D19" s="195" t="s">
        <v>1395</v>
      </c>
      <c r="E19" s="150"/>
      <c r="F19" s="150">
        <v>200</v>
      </c>
      <c r="G19" s="150"/>
      <c r="H19" s="272"/>
      <c r="I19" s="272"/>
    </row>
    <row r="20" spans="1:9" s="121" customFormat="1" ht="17.25" customHeight="1" hidden="1">
      <c r="A20" s="411"/>
      <c r="B20" s="163"/>
      <c r="C20" s="166" t="s">
        <v>1402</v>
      </c>
      <c r="D20" s="195" t="s">
        <v>1396</v>
      </c>
      <c r="E20" s="150"/>
      <c r="F20" s="150">
        <v>500</v>
      </c>
      <c r="G20" s="150"/>
      <c r="H20" s="272"/>
      <c r="I20" s="272"/>
    </row>
    <row r="21" spans="1:9" s="121" customFormat="1" ht="17.25" customHeight="1" hidden="1">
      <c r="A21" s="411"/>
      <c r="B21" s="163"/>
      <c r="C21" s="166" t="s">
        <v>1403</v>
      </c>
      <c r="D21" s="195" t="s">
        <v>1397</v>
      </c>
      <c r="E21" s="150"/>
      <c r="F21" s="150">
        <v>300</v>
      </c>
      <c r="G21" s="150"/>
      <c r="H21" s="272"/>
      <c r="I21" s="272"/>
    </row>
    <row r="22" spans="1:9" ht="30" customHeight="1" hidden="1">
      <c r="A22" s="410"/>
      <c r="B22" s="138"/>
      <c r="C22" s="139" t="s">
        <v>55</v>
      </c>
      <c r="D22" s="157" t="s">
        <v>1463</v>
      </c>
      <c r="E22" s="150"/>
      <c r="F22" s="150"/>
      <c r="G22" s="150">
        <v>0</v>
      </c>
      <c r="H22" s="272"/>
      <c r="I22" s="272"/>
    </row>
    <row r="23" spans="1:9" ht="23.25" customHeight="1" hidden="1">
      <c r="A23" s="410"/>
      <c r="B23" s="138"/>
      <c r="C23" s="142" t="s">
        <v>302</v>
      </c>
      <c r="D23" s="157" t="s">
        <v>5</v>
      </c>
      <c r="E23" s="150"/>
      <c r="F23" s="150"/>
      <c r="G23" s="150"/>
      <c r="H23" s="272"/>
      <c r="I23" s="272"/>
    </row>
    <row r="24" ht="12.75" hidden="1"/>
    <row r="25" ht="12.75" hidden="1"/>
    <row r="26" ht="12.75" hidden="1"/>
    <row r="27" spans="1:9" ht="17.25" customHeight="1">
      <c r="A27" s="410" t="s">
        <v>19</v>
      </c>
      <c r="B27" s="134"/>
      <c r="C27" s="135"/>
      <c r="D27" s="151" t="s">
        <v>723</v>
      </c>
      <c r="E27" s="152" t="e">
        <f>SUM(#REF!+E34+E33+E29+E28)</f>
        <v>#REF!</v>
      </c>
      <c r="F27" s="152" t="e">
        <f>SUM(#REF!+F34+F33+F29+F28)</f>
        <v>#REF!</v>
      </c>
      <c r="G27" s="152" t="e">
        <f>SUM(#REF!+G34+G33+G29+G28)</f>
        <v>#REF!</v>
      </c>
      <c r="H27" s="152" t="e">
        <f>SUM(#REF!+H34+H33+H29+H28)</f>
        <v>#REF!</v>
      </c>
      <c r="I27" s="152">
        <f>SUM(I34+I33+I29+I28)</f>
        <v>14647</v>
      </c>
    </row>
    <row r="28" spans="1:9" ht="17.25" customHeight="1">
      <c r="A28" s="410"/>
      <c r="B28" s="138" t="s">
        <v>20</v>
      </c>
      <c r="C28" s="135"/>
      <c r="D28" s="124" t="s">
        <v>29</v>
      </c>
      <c r="E28" s="141">
        <v>9330</v>
      </c>
      <c r="F28" s="141">
        <v>4740</v>
      </c>
      <c r="G28" s="141">
        <v>5431</v>
      </c>
      <c r="H28" s="271">
        <v>5862</v>
      </c>
      <c r="I28" s="271">
        <v>5940</v>
      </c>
    </row>
    <row r="29" spans="1:9" ht="17.25" customHeight="1">
      <c r="A29" s="410"/>
      <c r="B29" s="138" t="s">
        <v>44</v>
      </c>
      <c r="C29" s="135"/>
      <c r="D29" s="124" t="s">
        <v>1162</v>
      </c>
      <c r="E29" s="141">
        <v>12055</v>
      </c>
      <c r="F29" s="141">
        <v>2009</v>
      </c>
      <c r="G29" s="141">
        <v>1950</v>
      </c>
      <c r="H29" s="271">
        <v>2005</v>
      </c>
      <c r="I29" s="271">
        <f>SUM(I30:I32)</f>
        <v>3907</v>
      </c>
    </row>
    <row r="30" spans="1:9" ht="28.5" customHeight="1">
      <c r="A30" s="410"/>
      <c r="B30" s="741" t="s">
        <v>531</v>
      </c>
      <c r="C30" s="135"/>
      <c r="D30" s="192" t="s">
        <v>291</v>
      </c>
      <c r="E30" s="141"/>
      <c r="F30" s="141"/>
      <c r="G30" s="141"/>
      <c r="H30" s="271">
        <v>2005</v>
      </c>
      <c r="I30" s="271">
        <v>1859</v>
      </c>
    </row>
    <row r="31" spans="1:9" ht="17.25" customHeight="1">
      <c r="A31" s="410"/>
      <c r="B31" s="741" t="s">
        <v>532</v>
      </c>
      <c r="C31" s="135"/>
      <c r="D31" s="192" t="s">
        <v>1159</v>
      </c>
      <c r="E31" s="141"/>
      <c r="F31" s="141"/>
      <c r="G31" s="141"/>
      <c r="H31" s="271"/>
      <c r="I31" s="271">
        <v>367</v>
      </c>
    </row>
    <row r="32" spans="1:9" ht="17.25" customHeight="1">
      <c r="A32" s="410"/>
      <c r="B32" s="741" t="s">
        <v>1090</v>
      </c>
      <c r="C32" s="135"/>
      <c r="D32" s="192" t="s">
        <v>898</v>
      </c>
      <c r="E32" s="141"/>
      <c r="F32" s="141"/>
      <c r="G32" s="141"/>
      <c r="H32" s="271"/>
      <c r="I32" s="271">
        <v>1681</v>
      </c>
    </row>
    <row r="33" spans="1:9" ht="17.25" customHeight="1">
      <c r="A33" s="410"/>
      <c r="B33" s="741" t="s">
        <v>45</v>
      </c>
      <c r="C33" s="135"/>
      <c r="D33" s="153" t="s">
        <v>607</v>
      </c>
      <c r="E33" s="141">
        <v>2500</v>
      </c>
      <c r="F33" s="141">
        <v>2600</v>
      </c>
      <c r="G33" s="141">
        <v>2601</v>
      </c>
      <c r="H33" s="271">
        <v>1850</v>
      </c>
      <c r="I33" s="271">
        <v>500</v>
      </c>
    </row>
    <row r="34" spans="1:9" ht="17.25" customHeight="1">
      <c r="A34" s="410"/>
      <c r="B34" s="138" t="s">
        <v>49</v>
      </c>
      <c r="C34" s="135"/>
      <c r="D34" s="153" t="s">
        <v>1018</v>
      </c>
      <c r="E34" s="141">
        <f>SUM(E35:E42)</f>
        <v>8500</v>
      </c>
      <c r="F34" s="141">
        <f>SUM(F35:F42)</f>
        <v>8500</v>
      </c>
      <c r="G34" s="141">
        <f>SUM(G35:G42)</f>
        <v>8500</v>
      </c>
      <c r="H34" s="141">
        <f>SUM(H35:H42)</f>
        <v>3900</v>
      </c>
      <c r="I34" s="141">
        <f>SUM(I35:I42)</f>
        <v>4300</v>
      </c>
    </row>
    <row r="35" spans="1:9" ht="17.25" customHeight="1">
      <c r="A35" s="413"/>
      <c r="B35" s="1150" t="s">
        <v>255</v>
      </c>
      <c r="C35" s="1151"/>
      <c r="D35" s="192" t="s">
        <v>1019</v>
      </c>
      <c r="E35" s="144">
        <v>1200</v>
      </c>
      <c r="F35" s="144">
        <v>1400</v>
      </c>
      <c r="G35" s="144">
        <v>1400</v>
      </c>
      <c r="H35" s="273">
        <v>1600</v>
      </c>
      <c r="I35" s="273">
        <v>1600</v>
      </c>
    </row>
    <row r="36" spans="1:9" ht="17.25" customHeight="1">
      <c r="A36" s="413"/>
      <c r="B36" s="1150" t="s">
        <v>719</v>
      </c>
      <c r="C36" s="1151"/>
      <c r="D36" s="192" t="s">
        <v>1020</v>
      </c>
      <c r="E36" s="144">
        <v>2500</v>
      </c>
      <c r="F36" s="144">
        <v>2800</v>
      </c>
      <c r="G36" s="144">
        <v>2800</v>
      </c>
      <c r="H36" s="272"/>
      <c r="I36" s="272"/>
    </row>
    <row r="37" spans="1:9" ht="17.25" customHeight="1">
      <c r="A37" s="413"/>
      <c r="B37" s="1150" t="s">
        <v>1021</v>
      </c>
      <c r="C37" s="1151"/>
      <c r="D37" s="192" t="s">
        <v>1022</v>
      </c>
      <c r="E37" s="144">
        <v>500</v>
      </c>
      <c r="F37" s="144">
        <v>500</v>
      </c>
      <c r="G37" s="144">
        <v>500</v>
      </c>
      <c r="H37" s="273">
        <v>500</v>
      </c>
      <c r="I37" s="273">
        <v>500</v>
      </c>
    </row>
    <row r="38" spans="1:9" ht="17.25" customHeight="1">
      <c r="A38" s="413"/>
      <c r="B38" s="1150" t="s">
        <v>1023</v>
      </c>
      <c r="C38" s="1151"/>
      <c r="D38" s="192" t="s">
        <v>1024</v>
      </c>
      <c r="E38" s="144">
        <v>200</v>
      </c>
      <c r="F38" s="144">
        <v>200</v>
      </c>
      <c r="G38" s="144">
        <v>200</v>
      </c>
      <c r="H38" s="273">
        <v>200</v>
      </c>
      <c r="I38" s="273"/>
    </row>
    <row r="39" spans="1:9" ht="17.25" customHeight="1">
      <c r="A39" s="413"/>
      <c r="B39" s="1150" t="s">
        <v>1025</v>
      </c>
      <c r="C39" s="1151"/>
      <c r="D39" s="192" t="s">
        <v>1026</v>
      </c>
      <c r="E39" s="144">
        <v>1500</v>
      </c>
      <c r="F39" s="144">
        <v>1000</v>
      </c>
      <c r="G39" s="144">
        <v>1000</v>
      </c>
      <c r="H39" s="273">
        <v>1000</v>
      </c>
      <c r="I39" s="273"/>
    </row>
    <row r="40" spans="1:9" ht="17.25" customHeight="1">
      <c r="A40" s="413"/>
      <c r="B40" s="1150" t="s">
        <v>1027</v>
      </c>
      <c r="C40" s="1151"/>
      <c r="D40" s="192" t="s">
        <v>1073</v>
      </c>
      <c r="E40" s="144">
        <v>2000</v>
      </c>
      <c r="F40" s="144">
        <v>2000</v>
      </c>
      <c r="G40" s="144">
        <v>2000</v>
      </c>
      <c r="H40" s="171"/>
      <c r="I40" s="272">
        <v>800</v>
      </c>
    </row>
    <row r="41" spans="1:9" ht="17.25" customHeight="1">
      <c r="A41" s="413"/>
      <c r="B41" s="1146" t="s">
        <v>1028</v>
      </c>
      <c r="C41" s="1147"/>
      <c r="D41" s="192" t="s">
        <v>1074</v>
      </c>
      <c r="E41" s="144"/>
      <c r="F41" s="144"/>
      <c r="G41" s="171"/>
      <c r="H41" s="172">
        <v>0</v>
      </c>
      <c r="I41" s="273">
        <v>800</v>
      </c>
    </row>
    <row r="42" spans="1:9" ht="17.25" customHeight="1">
      <c r="A42" s="413"/>
      <c r="B42" s="1146" t="s">
        <v>1176</v>
      </c>
      <c r="C42" s="1147"/>
      <c r="D42" s="192" t="s">
        <v>1029</v>
      </c>
      <c r="E42" s="144">
        <v>600</v>
      </c>
      <c r="F42" s="144">
        <v>600</v>
      </c>
      <c r="G42" s="144">
        <v>600</v>
      </c>
      <c r="H42" s="273">
        <v>600</v>
      </c>
      <c r="I42" s="273">
        <v>600</v>
      </c>
    </row>
    <row r="43" spans="1:9" ht="17.25" customHeight="1">
      <c r="A43" s="410" t="s">
        <v>22</v>
      </c>
      <c r="B43" s="134"/>
      <c r="C43" s="135"/>
      <c r="D43" s="136" t="s">
        <v>596</v>
      </c>
      <c r="E43" s="137">
        <f>SUM(E44:E51,E58:E61)</f>
        <v>16750</v>
      </c>
      <c r="F43" s="137" t="e">
        <f>SUM(F44+F45+F48+#REF!+F61+#REF!+F62+F63+F64+F65)</f>
        <v>#REF!</v>
      </c>
      <c r="G43" s="137" t="e">
        <f>SUM(G44+G45+G48+#REF!+G61+#REF!+G62+G63+G64+G65+G66+G73+G74+G106+G107)</f>
        <v>#REF!</v>
      </c>
      <c r="H43" s="137" t="e">
        <f>SUM(H44+H45+H48+#REF!+H61+#REF!+H62+H63+H64+H65+H66+H73+H74+H106+H107+H108)</f>
        <v>#REF!</v>
      </c>
      <c r="I43" s="137">
        <f>SUM(I47+I44+I45+I48+I61+I62+I63+I64+I65++I66+I71+I74+I84+I104+I106+I107+I108+I110+I111+I112+I113+I116+I117)</f>
        <v>75235</v>
      </c>
    </row>
    <row r="44" spans="1:9" ht="17.25" customHeight="1">
      <c r="A44" s="410"/>
      <c r="B44" s="138" t="s">
        <v>1606</v>
      </c>
      <c r="C44" s="139"/>
      <c r="D44" s="140" t="s">
        <v>1030</v>
      </c>
      <c r="E44" s="141">
        <v>1000</v>
      </c>
      <c r="F44" s="141">
        <v>1000</v>
      </c>
      <c r="G44" s="141">
        <v>1000</v>
      </c>
      <c r="H44" s="271">
        <v>1400</v>
      </c>
      <c r="I44" s="271">
        <v>1400</v>
      </c>
    </row>
    <row r="45" spans="1:9" ht="17.25" customHeight="1">
      <c r="A45" s="410"/>
      <c r="B45" s="138" t="s">
        <v>1607</v>
      </c>
      <c r="C45" s="139"/>
      <c r="D45" s="140" t="s">
        <v>427</v>
      </c>
      <c r="E45" s="141">
        <v>3500</v>
      </c>
      <c r="F45" s="141">
        <v>3500</v>
      </c>
      <c r="G45" s="141">
        <v>3500</v>
      </c>
      <c r="H45" s="271">
        <v>3500</v>
      </c>
      <c r="I45" s="271">
        <v>2200</v>
      </c>
    </row>
    <row r="46" spans="1:9" ht="17.25" customHeight="1" hidden="1">
      <c r="A46" s="410"/>
      <c r="B46" s="138" t="s">
        <v>1608</v>
      </c>
      <c r="C46" s="139"/>
      <c r="D46" s="192" t="s">
        <v>1457</v>
      </c>
      <c r="E46" s="144"/>
      <c r="F46" s="144">
        <v>250</v>
      </c>
      <c r="G46" s="144"/>
      <c r="H46" s="273"/>
      <c r="I46" s="273"/>
    </row>
    <row r="47" spans="1:9" ht="17.25" customHeight="1">
      <c r="A47" s="410"/>
      <c r="B47" s="138" t="s">
        <v>1609</v>
      </c>
      <c r="C47" s="139"/>
      <c r="D47" s="140" t="s">
        <v>428</v>
      </c>
      <c r="E47" s="144"/>
      <c r="F47" s="144"/>
      <c r="G47" s="144"/>
      <c r="H47" s="273"/>
      <c r="I47" s="271">
        <v>1300</v>
      </c>
    </row>
    <row r="48" spans="1:9" ht="17.25" customHeight="1">
      <c r="A48" s="410"/>
      <c r="B48" s="138" t="s">
        <v>1610</v>
      </c>
      <c r="C48" s="139"/>
      <c r="D48" s="140" t="s">
        <v>1031</v>
      </c>
      <c r="E48" s="141">
        <v>550</v>
      </c>
      <c r="F48" s="141">
        <v>550</v>
      </c>
      <c r="G48" s="141">
        <v>550</v>
      </c>
      <c r="H48" s="271">
        <v>600</v>
      </c>
      <c r="I48" s="271">
        <v>600</v>
      </c>
    </row>
    <row r="49" spans="1:9" ht="17.25" customHeight="1" hidden="1">
      <c r="A49" s="410"/>
      <c r="B49" s="138" t="s">
        <v>1611</v>
      </c>
      <c r="C49" s="139"/>
      <c r="D49" s="140" t="s">
        <v>1425</v>
      </c>
      <c r="E49" s="141">
        <v>3000</v>
      </c>
      <c r="F49" s="154"/>
      <c r="G49" s="154"/>
      <c r="H49" s="271"/>
      <c r="I49" s="271"/>
    </row>
    <row r="50" spans="1:9" ht="17.25" customHeight="1" hidden="1">
      <c r="A50" s="410"/>
      <c r="B50" s="138" t="s">
        <v>1612</v>
      </c>
      <c r="C50" s="139"/>
      <c r="D50" s="140" t="s">
        <v>1032</v>
      </c>
      <c r="E50" s="141">
        <v>1000</v>
      </c>
      <c r="F50" s="154"/>
      <c r="G50" s="154"/>
      <c r="H50" s="271"/>
      <c r="I50" s="271"/>
    </row>
    <row r="51" spans="1:9" ht="17.25" customHeight="1" hidden="1">
      <c r="A51" s="410"/>
      <c r="B51" s="138" t="s">
        <v>1613</v>
      </c>
      <c r="C51" s="139"/>
      <c r="D51" s="140" t="s">
        <v>1033</v>
      </c>
      <c r="E51" s="141">
        <f>SUM(E52:E57)</f>
        <v>4400</v>
      </c>
      <c r="F51" s="154"/>
      <c r="G51" s="154"/>
      <c r="H51" s="271"/>
      <c r="I51" s="271"/>
    </row>
    <row r="52" spans="1:9" ht="17.25" customHeight="1" hidden="1">
      <c r="A52" s="410"/>
      <c r="B52" s="138" t="s">
        <v>1359</v>
      </c>
      <c r="C52" s="142" t="s">
        <v>1034</v>
      </c>
      <c r="D52" s="143" t="s">
        <v>1035</v>
      </c>
      <c r="E52" s="144">
        <v>1500</v>
      </c>
      <c r="F52" s="172"/>
      <c r="G52" s="172"/>
      <c r="H52" s="273"/>
      <c r="I52" s="273"/>
    </row>
    <row r="53" spans="1:9" ht="17.25" customHeight="1" hidden="1">
      <c r="A53" s="410"/>
      <c r="B53" s="138" t="s">
        <v>1614</v>
      </c>
      <c r="C53" s="142" t="s">
        <v>1036</v>
      </c>
      <c r="D53" s="143" t="s">
        <v>1046</v>
      </c>
      <c r="E53" s="144">
        <v>1500</v>
      </c>
      <c r="F53" s="172"/>
      <c r="G53" s="172"/>
      <c r="H53" s="273"/>
      <c r="I53" s="273"/>
    </row>
    <row r="54" spans="1:9" ht="17.25" customHeight="1" hidden="1">
      <c r="A54" s="410"/>
      <c r="B54" s="138" t="s">
        <v>1364</v>
      </c>
      <c r="C54" s="142" t="s">
        <v>1047</v>
      </c>
      <c r="D54" s="143" t="s">
        <v>1048</v>
      </c>
      <c r="E54" s="144">
        <v>400</v>
      </c>
      <c r="F54" s="172"/>
      <c r="G54" s="172"/>
      <c r="H54" s="273"/>
      <c r="I54" s="273"/>
    </row>
    <row r="55" spans="1:9" ht="17.25" customHeight="1" hidden="1">
      <c r="A55" s="410"/>
      <c r="B55" s="138" t="s">
        <v>1365</v>
      </c>
      <c r="C55" s="142" t="s">
        <v>1049</v>
      </c>
      <c r="D55" s="143" t="s">
        <v>1050</v>
      </c>
      <c r="E55" s="144">
        <v>1000</v>
      </c>
      <c r="F55" s="172"/>
      <c r="G55" s="172"/>
      <c r="H55" s="273"/>
      <c r="I55" s="273"/>
    </row>
    <row r="56" spans="1:9" ht="17.25" customHeight="1" hidden="1">
      <c r="A56" s="410"/>
      <c r="B56" s="138" t="s">
        <v>1366</v>
      </c>
      <c r="C56" s="142" t="s">
        <v>1051</v>
      </c>
      <c r="D56" s="143" t="s">
        <v>1052</v>
      </c>
      <c r="E56" s="144">
        <v>0</v>
      </c>
      <c r="F56" s="172"/>
      <c r="G56" s="172"/>
      <c r="H56" s="273"/>
      <c r="I56" s="273"/>
    </row>
    <row r="57" spans="1:9" ht="17.25" customHeight="1" hidden="1">
      <c r="A57" s="410"/>
      <c r="B57" s="138" t="s">
        <v>1367</v>
      </c>
      <c r="C57" s="142" t="s">
        <v>1053</v>
      </c>
      <c r="D57" s="143" t="s">
        <v>1054</v>
      </c>
      <c r="E57" s="144">
        <v>0</v>
      </c>
      <c r="F57" s="172"/>
      <c r="G57" s="172"/>
      <c r="H57" s="273"/>
      <c r="I57" s="273"/>
    </row>
    <row r="58" spans="1:9" ht="17.25" customHeight="1" hidden="1">
      <c r="A58" s="410"/>
      <c r="B58" s="138" t="s">
        <v>1376</v>
      </c>
      <c r="C58" s="139"/>
      <c r="D58" s="153" t="s">
        <v>1404</v>
      </c>
      <c r="E58" s="154"/>
      <c r="F58" s="154"/>
      <c r="G58" s="154"/>
      <c r="H58" s="271"/>
      <c r="I58" s="271"/>
    </row>
    <row r="59" spans="1:9" ht="29.25" customHeight="1" hidden="1">
      <c r="A59" s="410"/>
      <c r="B59" s="138" t="s">
        <v>1377</v>
      </c>
      <c r="C59" s="139"/>
      <c r="D59" s="140" t="s">
        <v>1055</v>
      </c>
      <c r="E59" s="141">
        <v>2500</v>
      </c>
      <c r="F59" s="154"/>
      <c r="G59" s="154"/>
      <c r="H59" s="271"/>
      <c r="I59" s="271"/>
    </row>
    <row r="60" spans="1:9" ht="19.5" customHeight="1" hidden="1">
      <c r="A60" s="410"/>
      <c r="B60" s="138" t="s">
        <v>1378</v>
      </c>
      <c r="C60" s="139"/>
      <c r="D60" s="140" t="s">
        <v>1056</v>
      </c>
      <c r="E60" s="141">
        <v>0</v>
      </c>
      <c r="F60" s="154"/>
      <c r="G60" s="154"/>
      <c r="H60" s="271"/>
      <c r="I60" s="271"/>
    </row>
    <row r="61" spans="1:9" ht="17.25" customHeight="1">
      <c r="A61" s="410"/>
      <c r="B61" s="138" t="s">
        <v>1611</v>
      </c>
      <c r="C61" s="139"/>
      <c r="D61" s="118" t="s">
        <v>1447</v>
      </c>
      <c r="E61" s="141">
        <v>800</v>
      </c>
      <c r="F61" s="183">
        <v>800</v>
      </c>
      <c r="G61" s="183">
        <v>800</v>
      </c>
      <c r="H61" s="274">
        <v>800</v>
      </c>
      <c r="I61" s="274">
        <v>800</v>
      </c>
    </row>
    <row r="62" spans="1:9" ht="17.25" customHeight="1">
      <c r="A62" s="410"/>
      <c r="B62" s="138" t="s">
        <v>1612</v>
      </c>
      <c r="C62" s="139"/>
      <c r="D62" s="140" t="s">
        <v>292</v>
      </c>
      <c r="E62" s="141"/>
      <c r="F62" s="183">
        <v>30000</v>
      </c>
      <c r="G62" s="183">
        <v>30000</v>
      </c>
      <c r="H62" s="274">
        <v>0</v>
      </c>
      <c r="I62" s="274">
        <v>5000</v>
      </c>
    </row>
    <row r="63" spans="1:9" ht="28.5" customHeight="1">
      <c r="A63" s="410"/>
      <c r="B63" s="138" t="s">
        <v>1613</v>
      </c>
      <c r="C63" s="139"/>
      <c r="D63" s="140" t="s">
        <v>1450</v>
      </c>
      <c r="E63" s="141"/>
      <c r="F63" s="183">
        <v>5000</v>
      </c>
      <c r="G63" s="183">
        <v>5000</v>
      </c>
      <c r="H63" s="274">
        <v>2000</v>
      </c>
      <c r="I63" s="274">
        <v>10000</v>
      </c>
    </row>
    <row r="64" spans="1:9" ht="17.25" customHeight="1">
      <c r="A64" s="410"/>
      <c r="B64" s="138" t="s">
        <v>1359</v>
      </c>
      <c r="C64" s="139"/>
      <c r="D64" s="140" t="s">
        <v>1452</v>
      </c>
      <c r="E64" s="141"/>
      <c r="F64" s="183">
        <v>1000</v>
      </c>
      <c r="G64" s="183">
        <v>1000</v>
      </c>
      <c r="H64" s="274">
        <v>1000</v>
      </c>
      <c r="I64" s="274">
        <v>500</v>
      </c>
    </row>
    <row r="65" spans="1:9" ht="17.25" customHeight="1">
      <c r="A65" s="414"/>
      <c r="B65" s="138" t="s">
        <v>1614</v>
      </c>
      <c r="C65" s="280"/>
      <c r="D65" s="140" t="s">
        <v>1436</v>
      </c>
      <c r="E65" s="141"/>
      <c r="F65" s="183">
        <v>1500</v>
      </c>
      <c r="G65" s="183">
        <v>0</v>
      </c>
      <c r="H65" s="274">
        <v>0</v>
      </c>
      <c r="I65" s="274"/>
    </row>
    <row r="66" spans="1:9" s="161" customFormat="1" ht="17.25" customHeight="1">
      <c r="A66" s="410"/>
      <c r="B66" s="138" t="s">
        <v>1364</v>
      </c>
      <c r="C66" s="280"/>
      <c r="D66" s="140" t="s">
        <v>1425</v>
      </c>
      <c r="E66" s="141"/>
      <c r="F66" s="188"/>
      <c r="G66" s="183">
        <f>SUM(G67:G69)</f>
        <v>11000</v>
      </c>
      <c r="H66" s="183">
        <f>SUM(H67:H72)</f>
        <v>7120</v>
      </c>
      <c r="I66" s="183">
        <f>SUM(I67:I70)</f>
        <v>4000</v>
      </c>
    </row>
    <row r="67" spans="1:9" s="52" customFormat="1" ht="17.25" customHeight="1">
      <c r="A67" s="413"/>
      <c r="B67" s="456" t="s">
        <v>1360</v>
      </c>
      <c r="C67" s="457"/>
      <c r="D67" s="278" t="s">
        <v>608</v>
      </c>
      <c r="E67" s="144"/>
      <c r="F67" s="275"/>
      <c r="G67" s="276">
        <v>4000</v>
      </c>
      <c r="H67" s="277">
        <v>0</v>
      </c>
      <c r="I67" s="277">
        <v>0</v>
      </c>
    </row>
    <row r="68" spans="1:9" s="52" customFormat="1" ht="17.25" customHeight="1">
      <c r="A68" s="413"/>
      <c r="B68" s="456" t="s">
        <v>1361</v>
      </c>
      <c r="C68" s="457"/>
      <c r="D68" s="278" t="s">
        <v>1451</v>
      </c>
      <c r="E68" s="144"/>
      <c r="F68" s="275"/>
      <c r="G68" s="276">
        <v>4000</v>
      </c>
      <c r="H68" s="277">
        <v>4000</v>
      </c>
      <c r="I68" s="277">
        <v>2000</v>
      </c>
    </row>
    <row r="69" spans="1:9" s="52" customFormat="1" ht="17.25" customHeight="1">
      <c r="A69" s="413"/>
      <c r="B69" s="456" t="s">
        <v>1362</v>
      </c>
      <c r="C69" s="457"/>
      <c r="D69" s="278" t="s">
        <v>30</v>
      </c>
      <c r="E69" s="144"/>
      <c r="F69" s="275"/>
      <c r="G69" s="276">
        <v>3000</v>
      </c>
      <c r="H69" s="277">
        <v>3000</v>
      </c>
      <c r="I69" s="277">
        <v>2000</v>
      </c>
    </row>
    <row r="70" spans="1:9" s="52" customFormat="1" ht="28.5" customHeight="1">
      <c r="A70" s="413"/>
      <c r="B70" s="456" t="s">
        <v>1363</v>
      </c>
      <c r="C70" s="457"/>
      <c r="D70" s="278" t="s">
        <v>1070</v>
      </c>
      <c r="E70" s="144"/>
      <c r="F70" s="275"/>
      <c r="G70" s="275"/>
      <c r="H70" s="277">
        <v>0</v>
      </c>
      <c r="I70" s="277"/>
    </row>
    <row r="71" spans="1:9" ht="17.25" customHeight="1">
      <c r="A71" s="410"/>
      <c r="B71" s="279" t="s">
        <v>1364</v>
      </c>
      <c r="C71" s="279"/>
      <c r="D71" s="140" t="s">
        <v>1071</v>
      </c>
      <c r="E71" s="141"/>
      <c r="F71" s="188"/>
      <c r="G71" s="275"/>
      <c r="H71" s="274">
        <v>120</v>
      </c>
      <c r="I71" s="274">
        <v>100</v>
      </c>
    </row>
    <row r="72" spans="1:9" ht="17.25" customHeight="1">
      <c r="A72" s="410"/>
      <c r="B72" s="279" t="s">
        <v>1365</v>
      </c>
      <c r="C72" s="279"/>
      <c r="D72" s="140" t="s">
        <v>1072</v>
      </c>
      <c r="E72" s="141"/>
      <c r="F72" s="188"/>
      <c r="G72" s="275"/>
      <c r="H72" s="274">
        <v>0</v>
      </c>
      <c r="I72" s="274"/>
    </row>
    <row r="73" spans="1:9" ht="17.25" customHeight="1">
      <c r="A73" s="410"/>
      <c r="B73" s="279" t="s">
        <v>1366</v>
      </c>
      <c r="C73" s="279"/>
      <c r="D73" s="140" t="s">
        <v>1032</v>
      </c>
      <c r="E73" s="141"/>
      <c r="F73" s="188"/>
      <c r="G73" s="183">
        <v>1000</v>
      </c>
      <c r="H73" s="274">
        <v>1000</v>
      </c>
      <c r="I73" s="274"/>
    </row>
    <row r="74" spans="1:9" ht="17.25" customHeight="1">
      <c r="A74" s="414"/>
      <c r="B74" s="279" t="s">
        <v>1367</v>
      </c>
      <c r="C74" s="279"/>
      <c r="D74" s="140" t="s">
        <v>1033</v>
      </c>
      <c r="E74" s="141"/>
      <c r="F74" s="188"/>
      <c r="G74" s="183" t="e">
        <f>SUM(G75+#REF!+#REF!,#REF!,G85)</f>
        <v>#REF!</v>
      </c>
      <c r="H74" s="183" t="e">
        <f>SUM(H75,#REF!,H85,H105)</f>
        <v>#REF!</v>
      </c>
      <c r="I74" s="183">
        <f>SUM(I75)</f>
        <v>5000</v>
      </c>
    </row>
    <row r="75" spans="1:9" ht="17.25" customHeight="1">
      <c r="A75" s="410"/>
      <c r="B75" s="279" t="s">
        <v>1368</v>
      </c>
      <c r="C75" s="280"/>
      <c r="D75" s="197" t="s">
        <v>609</v>
      </c>
      <c r="E75" s="141"/>
      <c r="F75" s="188"/>
      <c r="G75" s="183">
        <f>SUM(G76:G82)</f>
        <v>2900</v>
      </c>
      <c r="H75" s="183">
        <f>SUM(H76:H82)</f>
        <v>3260</v>
      </c>
      <c r="I75" s="183">
        <f>SUM(I76:I83)</f>
        <v>5000</v>
      </c>
    </row>
    <row r="76" spans="1:9" ht="17.25" customHeight="1">
      <c r="A76" s="410"/>
      <c r="B76" s="456" t="s">
        <v>1369</v>
      </c>
      <c r="C76" s="457"/>
      <c r="D76" s="185" t="s">
        <v>1437</v>
      </c>
      <c r="E76" s="141"/>
      <c r="F76" s="188"/>
      <c r="G76" s="183">
        <v>260</v>
      </c>
      <c r="H76" s="274">
        <v>350</v>
      </c>
      <c r="I76" s="274">
        <v>400</v>
      </c>
    </row>
    <row r="77" spans="1:9" ht="17.25" customHeight="1">
      <c r="A77" s="410"/>
      <c r="B77" s="456" t="s">
        <v>1370</v>
      </c>
      <c r="C77" s="457"/>
      <c r="D77" s="186">
        <v>38791</v>
      </c>
      <c r="E77" s="141"/>
      <c r="F77" s="188"/>
      <c r="G77" s="183">
        <v>300</v>
      </c>
      <c r="H77" s="274">
        <v>320</v>
      </c>
      <c r="I77" s="274">
        <v>370</v>
      </c>
    </row>
    <row r="78" spans="1:9" ht="17.25" customHeight="1">
      <c r="A78" s="410"/>
      <c r="B78" s="456" t="s">
        <v>1371</v>
      </c>
      <c r="C78" s="457"/>
      <c r="D78" s="185" t="s">
        <v>1438</v>
      </c>
      <c r="E78" s="141"/>
      <c r="F78" s="188"/>
      <c r="G78" s="183">
        <v>690</v>
      </c>
      <c r="H78" s="274">
        <v>900</v>
      </c>
      <c r="I78" s="274">
        <v>1000</v>
      </c>
    </row>
    <row r="79" spans="1:9" ht="17.25" customHeight="1">
      <c r="A79" s="410"/>
      <c r="B79" s="456" t="s">
        <v>1372</v>
      </c>
      <c r="C79" s="457"/>
      <c r="D79" s="185" t="s">
        <v>1439</v>
      </c>
      <c r="E79" s="141"/>
      <c r="F79" s="188"/>
      <c r="G79" s="183">
        <v>570</v>
      </c>
      <c r="H79" s="274">
        <v>600</v>
      </c>
      <c r="I79" s="274">
        <v>400</v>
      </c>
    </row>
    <row r="80" spans="1:9" ht="17.25" customHeight="1">
      <c r="A80" s="410"/>
      <c r="B80" s="456" t="s">
        <v>1373</v>
      </c>
      <c r="C80" s="457"/>
      <c r="D80" s="187" t="s">
        <v>1440</v>
      </c>
      <c r="E80" s="141"/>
      <c r="F80" s="188"/>
      <c r="G80" s="183">
        <v>520</v>
      </c>
      <c r="H80" s="274">
        <v>520</v>
      </c>
      <c r="I80" s="274">
        <v>600</v>
      </c>
    </row>
    <row r="81" spans="1:9" ht="17.25" customHeight="1">
      <c r="A81" s="410"/>
      <c r="B81" s="456" t="s">
        <v>1374</v>
      </c>
      <c r="C81" s="457"/>
      <c r="D81" s="187" t="s">
        <v>1441</v>
      </c>
      <c r="E81" s="141"/>
      <c r="F81" s="188"/>
      <c r="G81" s="183">
        <v>190</v>
      </c>
      <c r="H81" s="274">
        <v>200</v>
      </c>
      <c r="I81" s="274">
        <v>220</v>
      </c>
    </row>
    <row r="82" spans="1:9" ht="17.25" customHeight="1">
      <c r="A82" s="410"/>
      <c r="B82" s="456" t="s">
        <v>1375</v>
      </c>
      <c r="C82" s="457"/>
      <c r="D82" s="187" t="s">
        <v>1442</v>
      </c>
      <c r="E82" s="141"/>
      <c r="F82" s="188"/>
      <c r="G82" s="183">
        <v>370</v>
      </c>
      <c r="H82" s="274">
        <v>370</v>
      </c>
      <c r="I82" s="274">
        <v>400</v>
      </c>
    </row>
    <row r="83" spans="1:9" ht="17.25" customHeight="1">
      <c r="A83" s="410"/>
      <c r="B83" s="456" t="s">
        <v>1618</v>
      </c>
      <c r="C83" s="457"/>
      <c r="D83" s="187" t="s">
        <v>610</v>
      </c>
      <c r="E83" s="141"/>
      <c r="F83" s="188"/>
      <c r="G83" s="183"/>
      <c r="H83" s="274"/>
      <c r="I83" s="274">
        <v>1610</v>
      </c>
    </row>
    <row r="84" spans="1:9" ht="31.5" customHeight="1">
      <c r="A84" s="410"/>
      <c r="B84" s="279" t="s">
        <v>1376</v>
      </c>
      <c r="C84" s="457"/>
      <c r="D84" s="140" t="s">
        <v>572</v>
      </c>
      <c r="E84" s="141"/>
      <c r="F84" s="188"/>
      <c r="G84" s="183"/>
      <c r="H84" s="274"/>
      <c r="I84" s="274">
        <f>SUM(I85:I103)</f>
        <v>15200</v>
      </c>
    </row>
    <row r="85" spans="1:9" ht="17.25" customHeight="1">
      <c r="A85" s="410"/>
      <c r="B85" s="1219" t="s">
        <v>1619</v>
      </c>
      <c r="C85" s="1220"/>
      <c r="D85" s="185" t="s">
        <v>584</v>
      </c>
      <c r="E85" s="141"/>
      <c r="F85" s="188"/>
      <c r="G85" s="183">
        <v>1500</v>
      </c>
      <c r="H85" s="274">
        <v>2000</v>
      </c>
      <c r="I85" s="274">
        <v>2000</v>
      </c>
    </row>
    <row r="86" spans="1:9" ht="17.25" customHeight="1">
      <c r="A86" s="410"/>
      <c r="B86" s="1219" t="s">
        <v>1620</v>
      </c>
      <c r="C86" s="1220"/>
      <c r="D86" s="185" t="s">
        <v>601</v>
      </c>
      <c r="E86" s="141"/>
      <c r="F86" s="188"/>
      <c r="G86" s="183"/>
      <c r="H86" s="274"/>
      <c r="I86" s="274">
        <v>2000</v>
      </c>
    </row>
    <row r="87" spans="1:9" ht="17.25" customHeight="1">
      <c r="A87" s="410"/>
      <c r="B87" s="1219" t="s">
        <v>1621</v>
      </c>
      <c r="C87" s="1220"/>
      <c r="D87" s="185" t="s">
        <v>573</v>
      </c>
      <c r="E87" s="141"/>
      <c r="F87" s="188"/>
      <c r="G87" s="183"/>
      <c r="H87" s="274"/>
      <c r="I87" s="274">
        <v>950</v>
      </c>
    </row>
    <row r="88" spans="1:9" ht="17.25" customHeight="1">
      <c r="A88" s="410"/>
      <c r="B88" s="1219" t="s">
        <v>1622</v>
      </c>
      <c r="C88" s="1220"/>
      <c r="D88" s="185" t="s">
        <v>588</v>
      </c>
      <c r="E88" s="141"/>
      <c r="F88" s="188"/>
      <c r="G88" s="183"/>
      <c r="H88" s="274"/>
      <c r="I88" s="274">
        <v>225</v>
      </c>
    </row>
    <row r="89" spans="1:9" ht="17.25" customHeight="1">
      <c r="A89" s="410"/>
      <c r="B89" s="1219" t="s">
        <v>1623</v>
      </c>
      <c r="C89" s="1220"/>
      <c r="D89" s="185" t="s">
        <v>574</v>
      </c>
      <c r="E89" s="141"/>
      <c r="F89" s="188"/>
      <c r="G89" s="183"/>
      <c r="H89" s="274"/>
      <c r="I89" s="274">
        <v>100</v>
      </c>
    </row>
    <row r="90" spans="1:9" ht="17.25" customHeight="1">
      <c r="A90" s="410"/>
      <c r="B90" s="1219" t="s">
        <v>1624</v>
      </c>
      <c r="C90" s="1220"/>
      <c r="D90" s="185" t="s">
        <v>575</v>
      </c>
      <c r="E90" s="141"/>
      <c r="F90" s="188"/>
      <c r="G90" s="183"/>
      <c r="H90" s="274"/>
      <c r="I90" s="274">
        <v>425</v>
      </c>
    </row>
    <row r="91" spans="1:9" ht="17.25" customHeight="1">
      <c r="A91" s="410"/>
      <c r="B91" s="1219" t="s">
        <v>1625</v>
      </c>
      <c r="C91" s="1220"/>
      <c r="D91" s="185" t="s">
        <v>576</v>
      </c>
      <c r="E91" s="141"/>
      <c r="F91" s="188"/>
      <c r="G91" s="183"/>
      <c r="H91" s="274"/>
      <c r="I91" s="274">
        <v>1125</v>
      </c>
    </row>
    <row r="92" spans="1:9" ht="17.25" customHeight="1">
      <c r="A92" s="410"/>
      <c r="B92" s="1219" t="s">
        <v>1626</v>
      </c>
      <c r="C92" s="1220"/>
      <c r="D92" s="185" t="s">
        <v>577</v>
      </c>
      <c r="E92" s="141"/>
      <c r="F92" s="188"/>
      <c r="G92" s="183"/>
      <c r="H92" s="274"/>
      <c r="I92" s="274">
        <v>1375</v>
      </c>
    </row>
    <row r="93" spans="1:9" ht="17.25" customHeight="1">
      <c r="A93" s="410"/>
      <c r="B93" s="1219" t="s">
        <v>1627</v>
      </c>
      <c r="C93" s="1220"/>
      <c r="D93" s="185" t="s">
        <v>578</v>
      </c>
      <c r="E93" s="141"/>
      <c r="F93" s="188"/>
      <c r="G93" s="183"/>
      <c r="H93" s="274"/>
      <c r="I93" s="274">
        <v>50</v>
      </c>
    </row>
    <row r="94" spans="1:9" ht="17.25" customHeight="1">
      <c r="A94" s="410"/>
      <c r="B94" s="1219" t="s">
        <v>1628</v>
      </c>
      <c r="C94" s="1220"/>
      <c r="D94" s="185" t="s">
        <v>579</v>
      </c>
      <c r="E94" s="141"/>
      <c r="F94" s="188"/>
      <c r="G94" s="183"/>
      <c r="H94" s="274"/>
      <c r="I94" s="274">
        <v>100</v>
      </c>
    </row>
    <row r="95" spans="1:9" ht="17.25" customHeight="1">
      <c r="A95" s="410"/>
      <c r="B95" s="1219" t="s">
        <v>1629</v>
      </c>
      <c r="C95" s="1220"/>
      <c r="D95" s="185" t="s">
        <v>580</v>
      </c>
      <c r="E95" s="141"/>
      <c r="F95" s="188"/>
      <c r="G95" s="183"/>
      <c r="H95" s="274"/>
      <c r="I95" s="274">
        <v>175</v>
      </c>
    </row>
    <row r="96" spans="1:9" ht="17.25" customHeight="1">
      <c r="A96" s="410"/>
      <c r="B96" s="1219" t="s">
        <v>1630</v>
      </c>
      <c r="C96" s="1220"/>
      <c r="D96" s="185" t="s">
        <v>458</v>
      </c>
      <c r="E96" s="141"/>
      <c r="F96" s="188"/>
      <c r="G96" s="183"/>
      <c r="H96" s="274"/>
      <c r="I96" s="274">
        <v>100</v>
      </c>
    </row>
    <row r="97" spans="1:9" ht="17.25" customHeight="1">
      <c r="A97" s="410"/>
      <c r="B97" s="1219" t="s">
        <v>1631</v>
      </c>
      <c r="C97" s="1220"/>
      <c r="D97" s="185" t="s">
        <v>581</v>
      </c>
      <c r="E97" s="141"/>
      <c r="F97" s="188"/>
      <c r="G97" s="183"/>
      <c r="H97" s="274"/>
      <c r="I97" s="274">
        <v>400</v>
      </c>
    </row>
    <row r="98" spans="1:9" ht="17.25" customHeight="1">
      <c r="A98" s="410"/>
      <c r="B98" s="1219" t="s">
        <v>1632</v>
      </c>
      <c r="C98" s="1220"/>
      <c r="D98" s="185" t="s">
        <v>582</v>
      </c>
      <c r="E98" s="141"/>
      <c r="F98" s="188"/>
      <c r="G98" s="183"/>
      <c r="H98" s="274"/>
      <c r="I98" s="274">
        <v>1200</v>
      </c>
    </row>
    <row r="99" spans="1:9" ht="17.25" customHeight="1">
      <c r="A99" s="410"/>
      <c r="B99" s="1219" t="s">
        <v>1633</v>
      </c>
      <c r="C99" s="1220"/>
      <c r="D99" s="185" t="s">
        <v>583</v>
      </c>
      <c r="E99" s="141"/>
      <c r="F99" s="188"/>
      <c r="G99" s="183"/>
      <c r="H99" s="274"/>
      <c r="I99" s="274">
        <v>1625</v>
      </c>
    </row>
    <row r="100" spans="1:9" ht="17.25" customHeight="1">
      <c r="A100" s="410"/>
      <c r="B100" s="1219" t="s">
        <v>1634</v>
      </c>
      <c r="C100" s="1220"/>
      <c r="D100" s="185" t="s">
        <v>585</v>
      </c>
      <c r="E100" s="141"/>
      <c r="F100" s="188"/>
      <c r="G100" s="183"/>
      <c r="H100" s="274"/>
      <c r="I100" s="274">
        <v>100</v>
      </c>
    </row>
    <row r="101" spans="1:9" ht="17.25" customHeight="1">
      <c r="A101" s="410"/>
      <c r="B101" s="1219" t="s">
        <v>1635</v>
      </c>
      <c r="C101" s="1220"/>
      <c r="D101" s="185" t="s">
        <v>586</v>
      </c>
      <c r="E101" s="141"/>
      <c r="F101" s="188"/>
      <c r="G101" s="183"/>
      <c r="H101" s="274"/>
      <c r="I101" s="274">
        <v>250</v>
      </c>
    </row>
    <row r="102" spans="1:9" ht="17.25" customHeight="1">
      <c r="A102" s="410"/>
      <c r="B102" s="1219" t="s">
        <v>1636</v>
      </c>
      <c r="C102" s="1220"/>
      <c r="D102" s="185" t="s">
        <v>587</v>
      </c>
      <c r="E102" s="141"/>
      <c r="F102" s="188"/>
      <c r="G102" s="183"/>
      <c r="H102" s="274"/>
      <c r="I102" s="274">
        <v>2500</v>
      </c>
    </row>
    <row r="103" spans="1:9" ht="17.25" customHeight="1">
      <c r="A103" s="410"/>
      <c r="B103" s="1219" t="s">
        <v>1637</v>
      </c>
      <c r="C103" s="1220"/>
      <c r="D103" s="185" t="s">
        <v>1160</v>
      </c>
      <c r="E103" s="141"/>
      <c r="F103" s="188"/>
      <c r="G103" s="183"/>
      <c r="H103" s="274"/>
      <c r="I103" s="274">
        <v>500</v>
      </c>
    </row>
    <row r="104" spans="1:9" ht="17.25" customHeight="1">
      <c r="A104" s="410"/>
      <c r="B104" s="279" t="s">
        <v>1377</v>
      </c>
      <c r="C104" s="280"/>
      <c r="D104" s="197" t="s">
        <v>1443</v>
      </c>
      <c r="E104" s="141"/>
      <c r="F104" s="188"/>
      <c r="G104" s="183"/>
      <c r="H104" s="274"/>
      <c r="I104" s="274">
        <v>935</v>
      </c>
    </row>
    <row r="105" spans="1:9" ht="17.25" customHeight="1">
      <c r="A105" s="410"/>
      <c r="B105" s="455" t="s">
        <v>1378</v>
      </c>
      <c r="C105" s="280"/>
      <c r="D105" s="197" t="s">
        <v>358</v>
      </c>
      <c r="E105" s="141"/>
      <c r="F105" s="188"/>
      <c r="G105" s="183">
        <v>0</v>
      </c>
      <c r="H105" s="274">
        <v>850</v>
      </c>
      <c r="I105" s="274">
        <v>0</v>
      </c>
    </row>
    <row r="106" spans="1:9" ht="17.25" customHeight="1">
      <c r="A106" s="410"/>
      <c r="B106" s="1152" t="s">
        <v>1615</v>
      </c>
      <c r="C106" s="1153"/>
      <c r="D106" s="140" t="s">
        <v>1444</v>
      </c>
      <c r="E106" s="141"/>
      <c r="F106" s="188"/>
      <c r="G106" s="183">
        <v>1500</v>
      </c>
      <c r="H106" s="274">
        <v>1700</v>
      </c>
      <c r="I106" s="274">
        <v>1000</v>
      </c>
    </row>
    <row r="107" spans="1:9" ht="17.25" customHeight="1">
      <c r="A107" s="410"/>
      <c r="B107" s="1152" t="s">
        <v>1616</v>
      </c>
      <c r="C107" s="1153"/>
      <c r="D107" s="140" t="s">
        <v>597</v>
      </c>
      <c r="E107" s="141"/>
      <c r="F107" s="183"/>
      <c r="G107" s="183">
        <v>1000</v>
      </c>
      <c r="H107" s="274">
        <v>1000</v>
      </c>
      <c r="I107" s="274">
        <v>1350</v>
      </c>
    </row>
    <row r="108" spans="1:9" ht="17.25" customHeight="1">
      <c r="A108" s="410"/>
      <c r="B108" s="1152" t="s">
        <v>1638</v>
      </c>
      <c r="C108" s="1153"/>
      <c r="D108" s="140" t="s">
        <v>1075</v>
      </c>
      <c r="E108" s="141"/>
      <c r="F108" s="183"/>
      <c r="G108" s="188"/>
      <c r="H108" s="274">
        <v>0</v>
      </c>
      <c r="I108" s="274">
        <v>450</v>
      </c>
    </row>
    <row r="109" spans="1:9" ht="17.25" customHeight="1">
      <c r="A109" s="410"/>
      <c r="B109" s="1152" t="s">
        <v>1379</v>
      </c>
      <c r="C109" s="1153"/>
      <c r="D109" s="140" t="s">
        <v>902</v>
      </c>
      <c r="E109" s="141"/>
      <c r="F109" s="183"/>
      <c r="G109" s="183"/>
      <c r="H109" s="274"/>
      <c r="I109" s="274">
        <v>0</v>
      </c>
    </row>
    <row r="110" spans="1:9" ht="30.75" customHeight="1">
      <c r="A110" s="410"/>
      <c r="B110" s="1152" t="s">
        <v>166</v>
      </c>
      <c r="C110" s="1153"/>
      <c r="D110" s="140" t="s">
        <v>1083</v>
      </c>
      <c r="E110" s="141"/>
      <c r="F110" s="183"/>
      <c r="G110" s="183"/>
      <c r="H110" s="188"/>
      <c r="I110" s="274">
        <v>400</v>
      </c>
    </row>
    <row r="111" spans="1:9" ht="30.75" customHeight="1">
      <c r="A111" s="410"/>
      <c r="B111" s="1152" t="s">
        <v>1617</v>
      </c>
      <c r="C111" s="1153"/>
      <c r="D111" s="140" t="s">
        <v>934</v>
      </c>
      <c r="E111" s="141"/>
      <c r="F111" s="183"/>
      <c r="G111" s="183"/>
      <c r="H111" s="188"/>
      <c r="I111" s="274">
        <v>15000</v>
      </c>
    </row>
    <row r="112" spans="1:9" ht="15">
      <c r="A112" s="430"/>
      <c r="B112" s="1152" t="s">
        <v>937</v>
      </c>
      <c r="C112" s="1153"/>
      <c r="D112" s="423" t="s">
        <v>1163</v>
      </c>
      <c r="E112" s="424"/>
      <c r="F112" s="425"/>
      <c r="G112" s="425"/>
      <c r="H112" s="424"/>
      <c r="I112" s="424">
        <v>500</v>
      </c>
    </row>
    <row r="113" spans="1:9" ht="15">
      <c r="A113" s="430"/>
      <c r="B113" s="1152" t="s">
        <v>938</v>
      </c>
      <c r="C113" s="1153"/>
      <c r="D113" s="423" t="s">
        <v>720</v>
      </c>
      <c r="E113" s="424"/>
      <c r="F113" s="425"/>
      <c r="G113" s="425"/>
      <c r="H113" s="424"/>
      <c r="I113" s="424">
        <v>3000</v>
      </c>
    </row>
    <row r="114" spans="1:9" ht="30">
      <c r="A114" s="430"/>
      <c r="B114" s="1152" t="s">
        <v>939</v>
      </c>
      <c r="C114" s="1153"/>
      <c r="D114" s="423" t="s">
        <v>935</v>
      </c>
      <c r="E114" s="424"/>
      <c r="F114" s="425"/>
      <c r="G114" s="425"/>
      <c r="H114" s="424"/>
      <c r="I114" s="424"/>
    </row>
    <row r="115" spans="1:9" ht="30">
      <c r="A115" s="430"/>
      <c r="B115" s="1152" t="s">
        <v>940</v>
      </c>
      <c r="C115" s="1153"/>
      <c r="D115" s="423" t="s">
        <v>936</v>
      </c>
      <c r="E115" s="424"/>
      <c r="F115" s="425"/>
      <c r="G115" s="425"/>
      <c r="H115" s="424"/>
      <c r="I115" s="424"/>
    </row>
    <row r="116" spans="1:9" ht="26.25" customHeight="1">
      <c r="A116" s="430"/>
      <c r="B116" s="1152" t="s">
        <v>1639</v>
      </c>
      <c r="C116" s="1153"/>
      <c r="D116" s="423" t="s">
        <v>598</v>
      </c>
      <c r="E116" s="424"/>
      <c r="F116" s="425"/>
      <c r="G116" s="425"/>
      <c r="H116" s="424"/>
      <c r="I116" s="424">
        <v>1500</v>
      </c>
    </row>
    <row r="117" spans="1:9" ht="26.25" customHeight="1">
      <c r="A117" s="430"/>
      <c r="B117" s="1152" t="s">
        <v>1640</v>
      </c>
      <c r="C117" s="1153"/>
      <c r="D117" s="423" t="s">
        <v>599</v>
      </c>
      <c r="E117" s="424"/>
      <c r="F117" s="425"/>
      <c r="G117" s="425"/>
      <c r="H117" s="424"/>
      <c r="I117" s="424">
        <v>5000</v>
      </c>
    </row>
    <row r="118" spans="1:9" ht="21" customHeight="1" thickBot="1">
      <c r="A118" s="415"/>
      <c r="B118" s="416"/>
      <c r="C118" s="417"/>
      <c r="D118" s="418" t="s">
        <v>1388</v>
      </c>
      <c r="E118" s="419" t="e">
        <f>SUM(E43+E27+E2)</f>
        <v>#REF!</v>
      </c>
      <c r="F118" s="419" t="e">
        <f>SUM(F43+F27+F2)</f>
        <v>#REF!</v>
      </c>
      <c r="G118" s="419" t="e">
        <f>SUM(G43+G27+G2)</f>
        <v>#REF!</v>
      </c>
      <c r="H118" s="419" t="e">
        <f>SUM(H43+H27+H2)</f>
        <v>#REF!</v>
      </c>
      <c r="I118" s="419">
        <f>SUM(I43+I27+I2)</f>
        <v>94882</v>
      </c>
    </row>
    <row r="119" spans="1:6" ht="14.25">
      <c r="A119" s="112"/>
      <c r="B119" s="155"/>
      <c r="C119" s="155"/>
      <c r="D119" s="112"/>
      <c r="E119" s="156"/>
      <c r="F119" s="156"/>
    </row>
    <row r="120" spans="1:6" ht="14.25">
      <c r="A120" s="112"/>
      <c r="B120" s="155"/>
      <c r="C120" s="155"/>
      <c r="D120" s="112"/>
      <c r="E120" s="156"/>
      <c r="F120" s="156"/>
    </row>
    <row r="121" spans="1:6" ht="14.25">
      <c r="A121" s="112"/>
      <c r="B121" s="155"/>
      <c r="C121" s="155"/>
      <c r="D121" s="112"/>
      <c r="E121" s="156"/>
      <c r="F121" s="156"/>
    </row>
    <row r="122" spans="1:9" ht="14.25">
      <c r="A122" s="112"/>
      <c r="B122" s="112"/>
      <c r="C122" s="112"/>
      <c r="D122" s="112"/>
      <c r="E122" s="156"/>
      <c r="F122" s="156"/>
      <c r="G122" s="25" t="e">
        <f>SUM(G118+'[2]7b. sz mell. '!G48)</f>
        <v>#REF!</v>
      </c>
      <c r="H122" s="25"/>
      <c r="I122" s="25"/>
    </row>
    <row r="123" spans="1:6" ht="14.25">
      <c r="A123" s="112"/>
      <c r="B123" s="112"/>
      <c r="C123" s="112"/>
      <c r="D123" s="112"/>
      <c r="E123" s="156"/>
      <c r="F123" s="156"/>
    </row>
    <row r="124" spans="4:6" ht="14.25">
      <c r="D124" s="112"/>
      <c r="E124" s="156"/>
      <c r="F124" s="156"/>
    </row>
    <row r="125" spans="4:6" ht="14.25">
      <c r="D125" s="112"/>
      <c r="E125" s="156"/>
      <c r="F125" s="156"/>
    </row>
    <row r="126" spans="4:6" ht="14.25">
      <c r="D126" s="112"/>
      <c r="E126" s="156"/>
      <c r="F126" s="156"/>
    </row>
    <row r="127" spans="4:6" ht="14.25">
      <c r="D127" s="112"/>
      <c r="E127" s="156"/>
      <c r="F127" s="156"/>
    </row>
    <row r="128" spans="4:6" ht="14.25">
      <c r="D128" s="112"/>
      <c r="E128" s="156"/>
      <c r="F128" s="156"/>
    </row>
    <row r="129" spans="4:6" ht="14.25">
      <c r="D129" s="112"/>
      <c r="E129" s="156"/>
      <c r="F129" s="156"/>
    </row>
    <row r="130" spans="4:6" ht="14.25">
      <c r="D130" s="112"/>
      <c r="E130" s="156"/>
      <c r="F130" s="156"/>
    </row>
    <row r="131" spans="4:6" ht="14.25">
      <c r="D131" s="112"/>
      <c r="E131" s="156"/>
      <c r="F131" s="156"/>
    </row>
    <row r="132" spans="4:6" ht="14.25">
      <c r="D132" s="112"/>
      <c r="E132" s="156"/>
      <c r="F132" s="156"/>
    </row>
    <row r="133" spans="4:6" ht="14.25">
      <c r="D133" s="112"/>
      <c r="E133" s="156"/>
      <c r="F133" s="156"/>
    </row>
    <row r="134" spans="4:6" ht="14.25">
      <c r="D134" s="112"/>
      <c r="E134" s="156"/>
      <c r="F134" s="156"/>
    </row>
    <row r="135" spans="4:6" ht="14.25">
      <c r="D135" s="112"/>
      <c r="E135" s="156"/>
      <c r="F135" s="156"/>
    </row>
    <row r="136" spans="4:6" ht="14.25">
      <c r="D136" s="112"/>
      <c r="E136" s="156"/>
      <c r="F136" s="156"/>
    </row>
    <row r="137" spans="4:6" ht="14.25">
      <c r="D137" s="112"/>
      <c r="E137" s="156"/>
      <c r="F137" s="156"/>
    </row>
    <row r="138" spans="4:6" ht="14.25">
      <c r="D138" s="112"/>
      <c r="E138" s="156"/>
      <c r="F138" s="156"/>
    </row>
    <row r="139" spans="4:6" ht="14.25">
      <c r="D139" s="112"/>
      <c r="E139" s="156"/>
      <c r="F139" s="156"/>
    </row>
    <row r="140" spans="4:6" ht="14.25">
      <c r="D140" s="112"/>
      <c r="E140" s="156"/>
      <c r="F140" s="156"/>
    </row>
    <row r="141" spans="4:6" ht="14.25">
      <c r="D141" s="112"/>
      <c r="E141" s="156"/>
      <c r="F141" s="156"/>
    </row>
    <row r="142" spans="4:6" ht="14.25">
      <c r="D142" s="112"/>
      <c r="E142" s="156"/>
      <c r="F142" s="156"/>
    </row>
    <row r="143" spans="4:6" ht="14.25">
      <c r="D143" s="112"/>
      <c r="E143" s="156"/>
      <c r="F143" s="156"/>
    </row>
    <row r="144" spans="4:6" ht="14.25">
      <c r="D144" s="112"/>
      <c r="E144" s="156"/>
      <c r="F144" s="156"/>
    </row>
    <row r="145" spans="4:6" ht="14.25">
      <c r="D145" s="112"/>
      <c r="E145" s="156"/>
      <c r="F145" s="156"/>
    </row>
    <row r="146" spans="4:6" ht="14.25">
      <c r="D146" s="112"/>
      <c r="E146" s="156"/>
      <c r="F146" s="156"/>
    </row>
    <row r="147" spans="4:6" ht="14.25">
      <c r="D147" s="112"/>
      <c r="E147" s="156"/>
      <c r="F147" s="156"/>
    </row>
    <row r="148" spans="4:6" ht="14.25">
      <c r="D148" s="112"/>
      <c r="E148" s="156"/>
      <c r="F148" s="156"/>
    </row>
    <row r="149" spans="4:6" ht="14.25">
      <c r="D149" s="112"/>
      <c r="E149" s="156"/>
      <c r="F149" s="156"/>
    </row>
    <row r="150" spans="4:6" ht="14.25">
      <c r="D150" s="112"/>
      <c r="E150" s="156"/>
      <c r="F150" s="156"/>
    </row>
    <row r="151" spans="4:6" ht="14.25">
      <c r="D151" s="112"/>
      <c r="E151" s="156"/>
      <c r="F151" s="156"/>
    </row>
    <row r="152" spans="4:6" ht="14.25">
      <c r="D152" s="112"/>
      <c r="E152" s="156"/>
      <c r="F152" s="156"/>
    </row>
    <row r="153" spans="4:6" ht="14.25">
      <c r="D153" s="112"/>
      <c r="E153" s="156"/>
      <c r="F153" s="156"/>
    </row>
    <row r="154" spans="4:6" ht="14.25">
      <c r="D154" s="112"/>
      <c r="E154" s="156"/>
      <c r="F154" s="156"/>
    </row>
    <row r="155" spans="4:6" ht="14.25">
      <c r="D155" s="112"/>
      <c r="E155" s="156"/>
      <c r="F155" s="156"/>
    </row>
    <row r="156" spans="4:6" ht="14.25">
      <c r="D156" s="112"/>
      <c r="E156" s="156"/>
      <c r="F156" s="156"/>
    </row>
    <row r="157" spans="4:6" ht="14.25">
      <c r="D157" s="112"/>
      <c r="E157" s="156"/>
      <c r="F157" s="156"/>
    </row>
    <row r="158" spans="4:6" ht="14.25">
      <c r="D158" s="112"/>
      <c r="E158" s="156"/>
      <c r="F158" s="156"/>
    </row>
    <row r="159" spans="4:6" ht="14.25">
      <c r="D159" s="112"/>
      <c r="E159" s="156"/>
      <c r="F159" s="156"/>
    </row>
    <row r="160" spans="4:6" ht="14.25">
      <c r="D160" s="112"/>
      <c r="E160" s="156"/>
      <c r="F160" s="156"/>
    </row>
    <row r="161" spans="4:6" ht="14.25">
      <c r="D161" s="112"/>
      <c r="E161" s="156"/>
      <c r="F161" s="156"/>
    </row>
    <row r="162" spans="4:6" ht="14.25">
      <c r="D162" s="112"/>
      <c r="E162" s="156"/>
      <c r="F162" s="156"/>
    </row>
    <row r="163" spans="4:6" ht="14.25">
      <c r="D163" s="112"/>
      <c r="E163" s="156"/>
      <c r="F163" s="156"/>
    </row>
    <row r="164" spans="4:6" ht="14.25">
      <c r="D164" s="112"/>
      <c r="E164" s="156"/>
      <c r="F164" s="156"/>
    </row>
    <row r="165" spans="4:6" ht="14.25">
      <c r="D165" s="112"/>
      <c r="E165" s="156"/>
      <c r="F165" s="156"/>
    </row>
    <row r="166" spans="4:6" ht="14.25">
      <c r="D166" s="112"/>
      <c r="E166" s="156"/>
      <c r="F166" s="156"/>
    </row>
    <row r="167" spans="4:6" ht="14.25">
      <c r="D167" s="112"/>
      <c r="E167" s="156"/>
      <c r="F167" s="156"/>
    </row>
    <row r="168" spans="4:6" ht="14.25">
      <c r="D168" s="112"/>
      <c r="E168" s="156"/>
      <c r="F168" s="156"/>
    </row>
    <row r="169" spans="4:6" ht="14.25">
      <c r="D169" s="112"/>
      <c r="E169" s="156"/>
      <c r="F169" s="156"/>
    </row>
    <row r="170" spans="4:6" ht="14.25">
      <c r="D170" s="112"/>
      <c r="E170" s="156"/>
      <c r="F170" s="156"/>
    </row>
    <row r="171" spans="4:6" ht="14.25">
      <c r="D171" s="112"/>
      <c r="E171" s="156"/>
      <c r="F171" s="156"/>
    </row>
    <row r="172" spans="4:6" ht="14.25">
      <c r="D172" s="112"/>
      <c r="E172" s="156"/>
      <c r="F172" s="156"/>
    </row>
    <row r="173" spans="4:6" ht="14.25">
      <c r="D173" s="112"/>
      <c r="E173" s="156"/>
      <c r="F173" s="156"/>
    </row>
    <row r="174" spans="4:6" ht="14.25">
      <c r="D174" s="112"/>
      <c r="E174" s="156"/>
      <c r="F174" s="156"/>
    </row>
    <row r="175" spans="4:6" ht="14.25">
      <c r="D175" s="112"/>
      <c r="E175" s="156"/>
      <c r="F175" s="156"/>
    </row>
    <row r="176" spans="4:6" ht="14.25">
      <c r="D176" s="112"/>
      <c r="E176" s="156"/>
      <c r="F176" s="156"/>
    </row>
    <row r="177" spans="4:6" ht="14.25">
      <c r="D177" s="112"/>
      <c r="E177" s="156"/>
      <c r="F177" s="156"/>
    </row>
    <row r="178" spans="5:6" ht="14.25">
      <c r="E178" s="156"/>
      <c r="F178" s="156"/>
    </row>
    <row r="179" spans="5:6" ht="14.25">
      <c r="E179" s="156"/>
      <c r="F179" s="156"/>
    </row>
    <row r="180" spans="5:6" ht="14.25">
      <c r="E180" s="156"/>
      <c r="F180" s="156"/>
    </row>
    <row r="181" spans="5:6" ht="14.25">
      <c r="E181" s="156"/>
      <c r="F181" s="156"/>
    </row>
    <row r="182" spans="5:6" ht="14.25">
      <c r="E182" s="156"/>
      <c r="F182" s="156"/>
    </row>
    <row r="183" spans="5:6" ht="14.25">
      <c r="E183" s="156"/>
      <c r="F183" s="156"/>
    </row>
    <row r="184" spans="5:6" ht="14.25">
      <c r="E184" s="156"/>
      <c r="F184" s="156"/>
    </row>
    <row r="185" spans="5:6" ht="14.25">
      <c r="E185" s="156"/>
      <c r="F185" s="156"/>
    </row>
    <row r="186" spans="5:6" ht="14.25">
      <c r="E186" s="156"/>
      <c r="F186" s="156"/>
    </row>
    <row r="187" spans="5:6" ht="14.25">
      <c r="E187" s="156"/>
      <c r="F187" s="156"/>
    </row>
    <row r="188" spans="5:6" ht="14.25">
      <c r="E188" s="156"/>
      <c r="F188" s="156"/>
    </row>
    <row r="189" spans="5:6" ht="14.25">
      <c r="E189" s="156"/>
      <c r="F189" s="156"/>
    </row>
    <row r="190" spans="5:6" ht="14.25">
      <c r="E190" s="156"/>
      <c r="F190" s="156"/>
    </row>
    <row r="191" spans="5:6" ht="14.25">
      <c r="E191" s="156"/>
      <c r="F191" s="156"/>
    </row>
    <row r="192" spans="5:6" ht="14.25">
      <c r="E192" s="156"/>
      <c r="F192" s="156"/>
    </row>
    <row r="193" spans="5:6" ht="14.25">
      <c r="E193" s="156"/>
      <c r="F193" s="156"/>
    </row>
    <row r="194" spans="5:6" ht="14.25">
      <c r="E194" s="156"/>
      <c r="F194" s="156"/>
    </row>
    <row r="195" spans="5:6" ht="14.25">
      <c r="E195" s="156"/>
      <c r="F195" s="156"/>
    </row>
    <row r="196" spans="5:6" ht="14.25">
      <c r="E196" s="156"/>
      <c r="F196" s="156"/>
    </row>
    <row r="197" spans="5:6" ht="14.25">
      <c r="E197" s="156"/>
      <c r="F197" s="156"/>
    </row>
    <row r="198" spans="5:6" ht="14.25">
      <c r="E198" s="156"/>
      <c r="F198" s="156"/>
    </row>
    <row r="199" spans="5:6" ht="14.25">
      <c r="E199" s="156"/>
      <c r="F199" s="156"/>
    </row>
    <row r="200" spans="5:6" ht="14.25">
      <c r="E200" s="156"/>
      <c r="F200" s="156"/>
    </row>
    <row r="201" spans="5:6" ht="14.25">
      <c r="E201" s="156"/>
      <c r="F201" s="156"/>
    </row>
    <row r="202" spans="5:6" ht="14.25">
      <c r="E202" s="156"/>
      <c r="F202" s="156"/>
    </row>
    <row r="203" spans="5:6" ht="14.25">
      <c r="E203" s="156"/>
      <c r="F203" s="156"/>
    </row>
    <row r="204" spans="5:6" ht="14.25">
      <c r="E204" s="156"/>
      <c r="F204" s="156"/>
    </row>
    <row r="205" spans="5:6" ht="14.25">
      <c r="E205" s="156"/>
      <c r="F205" s="156"/>
    </row>
    <row r="206" spans="5:6" ht="14.25">
      <c r="E206" s="156"/>
      <c r="F206" s="156"/>
    </row>
    <row r="207" spans="5:6" ht="14.25">
      <c r="E207" s="156"/>
      <c r="F207" s="156"/>
    </row>
    <row r="208" spans="5:6" ht="14.25">
      <c r="E208" s="156"/>
      <c r="F208" s="156"/>
    </row>
    <row r="209" spans="5:6" ht="14.25">
      <c r="E209" s="156"/>
      <c r="F209" s="156"/>
    </row>
    <row r="210" spans="5:6" ht="14.25">
      <c r="E210" s="156"/>
      <c r="F210" s="156"/>
    </row>
    <row r="211" spans="5:6" ht="14.25">
      <c r="E211" s="156"/>
      <c r="F211" s="156"/>
    </row>
    <row r="212" spans="5:6" ht="14.25">
      <c r="E212" s="156"/>
      <c r="F212" s="156"/>
    </row>
    <row r="213" spans="5:6" ht="14.25">
      <c r="E213" s="156"/>
      <c r="F213" s="156"/>
    </row>
    <row r="214" spans="5:6" ht="14.25">
      <c r="E214" s="156"/>
      <c r="F214" s="156"/>
    </row>
    <row r="215" spans="5:6" ht="14.25">
      <c r="E215" s="156"/>
      <c r="F215" s="156"/>
    </row>
    <row r="216" spans="5:6" ht="14.25">
      <c r="E216" s="156"/>
      <c r="F216" s="156"/>
    </row>
    <row r="217" spans="5:6" ht="14.25">
      <c r="E217" s="156"/>
      <c r="F217" s="156"/>
    </row>
    <row r="218" spans="5:6" ht="14.25">
      <c r="E218" s="156"/>
      <c r="F218" s="156"/>
    </row>
    <row r="219" spans="5:6" ht="14.25">
      <c r="E219" s="156"/>
      <c r="F219" s="156"/>
    </row>
    <row r="220" spans="5:6" ht="14.25">
      <c r="E220" s="156"/>
      <c r="F220" s="156"/>
    </row>
    <row r="221" spans="5:6" ht="14.25">
      <c r="E221" s="156"/>
      <c r="F221" s="156"/>
    </row>
    <row r="222" spans="5:6" ht="14.25">
      <c r="E222" s="156"/>
      <c r="F222" s="156"/>
    </row>
    <row r="223" spans="5:6" ht="14.25">
      <c r="E223" s="156"/>
      <c r="F223" s="156"/>
    </row>
    <row r="224" spans="5:6" ht="14.25">
      <c r="E224" s="156"/>
      <c r="F224" s="156"/>
    </row>
    <row r="225" spans="5:6" ht="14.25">
      <c r="E225" s="156"/>
      <c r="F225" s="156"/>
    </row>
    <row r="226" spans="5:6" ht="14.25">
      <c r="E226" s="156"/>
      <c r="F226" s="156"/>
    </row>
    <row r="227" spans="5:6" ht="14.25">
      <c r="E227" s="156"/>
      <c r="F227" s="156"/>
    </row>
    <row r="228" spans="5:6" ht="14.25">
      <c r="E228" s="156"/>
      <c r="F228" s="156"/>
    </row>
    <row r="229" spans="5:6" ht="14.25">
      <c r="E229" s="156"/>
      <c r="F229" s="156"/>
    </row>
    <row r="230" spans="5:6" ht="14.25">
      <c r="E230" s="156"/>
      <c r="F230" s="156"/>
    </row>
    <row r="231" spans="5:6" ht="14.25">
      <c r="E231" s="156"/>
      <c r="F231" s="156"/>
    </row>
    <row r="232" spans="5:6" ht="14.25">
      <c r="E232" s="156"/>
      <c r="F232" s="156"/>
    </row>
    <row r="233" spans="5:6" ht="14.25">
      <c r="E233" s="156"/>
      <c r="F233" s="156"/>
    </row>
    <row r="234" spans="5:6" ht="14.25">
      <c r="E234" s="156"/>
      <c r="F234" s="156"/>
    </row>
    <row r="235" spans="5:6" ht="14.25">
      <c r="E235" s="156"/>
      <c r="F235" s="156"/>
    </row>
    <row r="236" spans="5:6" ht="14.25">
      <c r="E236" s="156"/>
      <c r="F236" s="156"/>
    </row>
    <row r="237" spans="5:6" ht="14.25">
      <c r="E237" s="156"/>
      <c r="F237" s="156"/>
    </row>
    <row r="238" spans="5:6" ht="14.25">
      <c r="E238" s="156"/>
      <c r="F238" s="156"/>
    </row>
    <row r="239" spans="5:6" ht="14.25">
      <c r="E239" s="156"/>
      <c r="F239" s="156"/>
    </row>
    <row r="240" spans="5:6" ht="14.25">
      <c r="E240" s="156"/>
      <c r="F240" s="156"/>
    </row>
    <row r="241" spans="5:6" ht="14.25">
      <c r="E241" s="156"/>
      <c r="F241" s="156"/>
    </row>
    <row r="242" spans="5:6" ht="14.25">
      <c r="E242" s="156"/>
      <c r="F242" s="156"/>
    </row>
    <row r="243" spans="5:6" ht="14.25">
      <c r="E243" s="156"/>
      <c r="F243" s="156"/>
    </row>
    <row r="244" spans="5:6" ht="14.25">
      <c r="E244" s="156"/>
      <c r="F244" s="156"/>
    </row>
    <row r="245" spans="5:6" ht="14.25">
      <c r="E245" s="156"/>
      <c r="F245" s="156"/>
    </row>
    <row r="246" spans="5:6" ht="14.25">
      <c r="E246" s="156"/>
      <c r="F246" s="156"/>
    </row>
    <row r="247" spans="5:6" ht="14.25">
      <c r="E247" s="156"/>
      <c r="F247" s="156"/>
    </row>
    <row r="248" spans="5:6" ht="14.25">
      <c r="E248" s="156"/>
      <c r="F248" s="156"/>
    </row>
    <row r="249" spans="5:6" ht="14.25">
      <c r="E249" s="156"/>
      <c r="F249" s="156"/>
    </row>
    <row r="250" spans="5:6" ht="14.25">
      <c r="E250" s="156"/>
      <c r="F250" s="156"/>
    </row>
    <row r="251" spans="5:6" ht="14.25">
      <c r="E251" s="156"/>
      <c r="F251" s="156"/>
    </row>
    <row r="252" spans="5:6" ht="14.25">
      <c r="E252" s="156"/>
      <c r="F252" s="156"/>
    </row>
    <row r="253" spans="5:6" ht="14.25">
      <c r="E253" s="156"/>
      <c r="F253" s="156"/>
    </row>
    <row r="254" spans="5:6" ht="14.25">
      <c r="E254" s="156"/>
      <c r="F254" s="156"/>
    </row>
    <row r="255" spans="5:6" ht="14.25">
      <c r="E255" s="156"/>
      <c r="F255" s="156"/>
    </row>
    <row r="256" spans="5:6" ht="14.25">
      <c r="E256" s="156"/>
      <c r="F256" s="156"/>
    </row>
    <row r="257" spans="5:6" ht="14.25">
      <c r="E257" s="156"/>
      <c r="F257" s="156"/>
    </row>
    <row r="258" spans="5:6" ht="14.25">
      <c r="E258" s="156"/>
      <c r="F258" s="156"/>
    </row>
    <row r="259" spans="5:6" ht="14.25">
      <c r="E259" s="156"/>
      <c r="F259" s="156"/>
    </row>
    <row r="260" spans="5:6" ht="14.25">
      <c r="E260" s="156"/>
      <c r="F260" s="156"/>
    </row>
    <row r="261" spans="5:6" ht="14.25">
      <c r="E261" s="156"/>
      <c r="F261" s="156"/>
    </row>
    <row r="262" spans="5:6" ht="14.25">
      <c r="E262" s="156"/>
      <c r="F262" s="156"/>
    </row>
    <row r="263" spans="5:6" ht="14.25">
      <c r="E263" s="156"/>
      <c r="F263" s="156"/>
    </row>
    <row r="264" spans="5:6" ht="14.25">
      <c r="E264" s="156"/>
      <c r="F264" s="156"/>
    </row>
    <row r="265" spans="5:6" ht="14.25">
      <c r="E265" s="156"/>
      <c r="F265" s="156"/>
    </row>
    <row r="266" spans="5:6" ht="14.25">
      <c r="E266" s="156"/>
      <c r="F266" s="156"/>
    </row>
    <row r="267" spans="5:6" ht="14.25">
      <c r="E267" s="156"/>
      <c r="F267" s="156"/>
    </row>
    <row r="268" spans="5:6" ht="14.25">
      <c r="E268" s="156"/>
      <c r="F268" s="156"/>
    </row>
    <row r="269" spans="5:6" ht="14.25">
      <c r="E269" s="156"/>
      <c r="F269" s="156"/>
    </row>
    <row r="270" spans="5:6" ht="14.25">
      <c r="E270" s="156"/>
      <c r="F270" s="156"/>
    </row>
    <row r="271" spans="5:6" ht="14.25">
      <c r="E271" s="156"/>
      <c r="F271" s="156"/>
    </row>
    <row r="272" spans="5:6" ht="14.25">
      <c r="E272" s="156"/>
      <c r="F272" s="156"/>
    </row>
    <row r="273" spans="5:6" ht="14.25">
      <c r="E273" s="156"/>
      <c r="F273" s="156"/>
    </row>
    <row r="274" spans="5:6" ht="14.25">
      <c r="E274" s="156"/>
      <c r="F274" s="156"/>
    </row>
    <row r="275" spans="5:6" ht="14.25">
      <c r="E275" s="156"/>
      <c r="F275" s="156"/>
    </row>
    <row r="276" spans="5:6" ht="14.25">
      <c r="E276" s="156"/>
      <c r="F276" s="156"/>
    </row>
    <row r="277" spans="5:6" ht="14.25">
      <c r="E277" s="156"/>
      <c r="F277" s="156"/>
    </row>
    <row r="278" spans="5:6" ht="14.25">
      <c r="E278" s="156"/>
      <c r="F278" s="156"/>
    </row>
    <row r="279" spans="5:6" ht="14.25">
      <c r="E279" s="156"/>
      <c r="F279" s="156"/>
    </row>
    <row r="280" spans="5:6" ht="14.25">
      <c r="E280" s="156"/>
      <c r="F280" s="156"/>
    </row>
    <row r="281" spans="5:6" ht="14.25">
      <c r="E281" s="156"/>
      <c r="F281" s="156"/>
    </row>
    <row r="282" spans="5:6" ht="14.25">
      <c r="E282" s="156"/>
      <c r="F282" s="156"/>
    </row>
    <row r="283" spans="5:6" ht="14.25">
      <c r="E283" s="156"/>
      <c r="F283" s="156"/>
    </row>
    <row r="284" spans="5:6" ht="14.25">
      <c r="E284" s="156"/>
      <c r="F284" s="156"/>
    </row>
    <row r="285" spans="5:6" ht="14.25">
      <c r="E285" s="156"/>
      <c r="F285" s="156"/>
    </row>
    <row r="286" spans="5:6" ht="14.25">
      <c r="E286" s="156"/>
      <c r="F286" s="156"/>
    </row>
    <row r="287" spans="5:6" ht="14.25">
      <c r="E287" s="156"/>
      <c r="F287" s="156"/>
    </row>
    <row r="288" spans="5:6" ht="14.25">
      <c r="E288" s="156"/>
      <c r="F288" s="156"/>
    </row>
    <row r="289" spans="5:6" ht="14.25">
      <c r="E289" s="156"/>
      <c r="F289" s="156"/>
    </row>
    <row r="290" spans="5:6" ht="14.25">
      <c r="E290" s="156"/>
      <c r="F290" s="156"/>
    </row>
    <row r="291" spans="5:6" ht="14.25">
      <c r="E291" s="156"/>
      <c r="F291" s="156"/>
    </row>
    <row r="292" spans="5:6" ht="14.25">
      <c r="E292" s="156"/>
      <c r="F292" s="156"/>
    </row>
    <row r="293" spans="5:6" ht="14.25">
      <c r="E293" s="156"/>
      <c r="F293" s="156"/>
    </row>
    <row r="294" spans="5:6" ht="14.25">
      <c r="E294" s="156"/>
      <c r="F294" s="156"/>
    </row>
    <row r="295" spans="5:6" ht="14.25">
      <c r="E295" s="156"/>
      <c r="F295" s="156"/>
    </row>
    <row r="296" spans="5:6" ht="14.25">
      <c r="E296" s="156"/>
      <c r="F296" s="156"/>
    </row>
    <row r="297" spans="5:6" ht="14.25">
      <c r="E297" s="156"/>
      <c r="F297" s="156"/>
    </row>
    <row r="298" spans="5:6" ht="14.25">
      <c r="E298" s="156"/>
      <c r="F298" s="156"/>
    </row>
    <row r="299" spans="5:6" ht="14.25">
      <c r="E299" s="156"/>
      <c r="F299" s="156"/>
    </row>
    <row r="300" spans="5:6" ht="14.25">
      <c r="E300" s="156"/>
      <c r="F300" s="156"/>
    </row>
    <row r="301" spans="5:6" ht="14.25">
      <c r="E301" s="156"/>
      <c r="F301" s="156"/>
    </row>
    <row r="302" spans="5:6" ht="14.25">
      <c r="E302" s="156"/>
      <c r="F302" s="156"/>
    </row>
    <row r="303" spans="5:6" ht="14.25">
      <c r="E303" s="156"/>
      <c r="F303" s="156"/>
    </row>
    <row r="304" spans="5:6" ht="14.25">
      <c r="E304" s="156"/>
      <c r="F304" s="156"/>
    </row>
    <row r="305" spans="5:6" ht="14.25">
      <c r="E305" s="156"/>
      <c r="F305" s="156"/>
    </row>
    <row r="306" spans="5:6" ht="14.25">
      <c r="E306" s="156"/>
      <c r="F306" s="156"/>
    </row>
    <row r="307" spans="5:6" ht="14.25">
      <c r="E307" s="156"/>
      <c r="F307" s="156"/>
    </row>
    <row r="308" spans="5:6" ht="14.25">
      <c r="E308" s="156"/>
      <c r="F308" s="156"/>
    </row>
    <row r="309" spans="5:6" ht="14.25">
      <c r="E309" s="156"/>
      <c r="F309" s="156"/>
    </row>
    <row r="310" spans="5:6" ht="14.25">
      <c r="E310" s="156"/>
      <c r="F310" s="156"/>
    </row>
    <row r="311" spans="5:6" ht="14.25">
      <c r="E311" s="156"/>
      <c r="F311" s="156"/>
    </row>
    <row r="312" spans="5:6" ht="14.25">
      <c r="E312" s="156"/>
      <c r="F312" s="156"/>
    </row>
    <row r="313" spans="5:6" ht="14.25">
      <c r="E313" s="156"/>
      <c r="F313" s="156"/>
    </row>
    <row r="314" spans="5:6" ht="14.25">
      <c r="E314" s="156"/>
      <c r="F314" s="156"/>
    </row>
    <row r="315" spans="5:6" ht="14.25">
      <c r="E315" s="156"/>
      <c r="F315" s="156"/>
    </row>
    <row r="316" spans="5:6" ht="14.25">
      <c r="E316" s="156"/>
      <c r="F316" s="156"/>
    </row>
    <row r="317" spans="5:6" ht="14.25">
      <c r="E317" s="156"/>
      <c r="F317" s="156"/>
    </row>
    <row r="318" spans="5:6" ht="14.25">
      <c r="E318" s="156"/>
      <c r="F318" s="156"/>
    </row>
    <row r="319" spans="5:6" ht="14.25">
      <c r="E319" s="156"/>
      <c r="F319" s="156"/>
    </row>
    <row r="320" spans="5:6" ht="14.25">
      <c r="E320" s="156"/>
      <c r="F320" s="156"/>
    </row>
    <row r="321" spans="5:6" ht="14.25">
      <c r="E321" s="156"/>
      <c r="F321" s="156"/>
    </row>
    <row r="322" spans="5:6" ht="14.25">
      <c r="E322" s="156"/>
      <c r="F322" s="156"/>
    </row>
    <row r="323" spans="5:6" ht="14.25">
      <c r="E323" s="156"/>
      <c r="F323" s="156"/>
    </row>
    <row r="324" spans="5:6" ht="14.25">
      <c r="E324" s="156"/>
      <c r="F324" s="156"/>
    </row>
    <row r="325" spans="5:6" ht="14.25">
      <c r="E325" s="156"/>
      <c r="F325" s="156"/>
    </row>
    <row r="326" spans="5:6" ht="14.25">
      <c r="E326" s="156"/>
      <c r="F326" s="156"/>
    </row>
    <row r="327" spans="5:6" ht="14.25">
      <c r="E327" s="156"/>
      <c r="F327" s="156"/>
    </row>
    <row r="328" spans="5:6" ht="14.25">
      <c r="E328" s="156"/>
      <c r="F328" s="156"/>
    </row>
    <row r="329" spans="5:6" ht="14.25">
      <c r="E329" s="156"/>
      <c r="F329" s="156"/>
    </row>
    <row r="330" spans="5:6" ht="14.25">
      <c r="E330" s="156"/>
      <c r="F330" s="156"/>
    </row>
    <row r="331" spans="5:6" ht="14.25">
      <c r="E331" s="156"/>
      <c r="F331" s="156"/>
    </row>
    <row r="332" spans="5:6" ht="14.25">
      <c r="E332" s="156"/>
      <c r="F332" s="156"/>
    </row>
    <row r="333" spans="5:6" ht="14.25">
      <c r="E333" s="156"/>
      <c r="F333" s="156"/>
    </row>
    <row r="334" spans="5:6" ht="14.25">
      <c r="E334" s="156"/>
      <c r="F334" s="156"/>
    </row>
    <row r="335" spans="5:6" ht="14.25">
      <c r="E335" s="156"/>
      <c r="F335" s="156"/>
    </row>
    <row r="336" spans="5:6" ht="14.25">
      <c r="E336" s="156"/>
      <c r="F336" s="156"/>
    </row>
    <row r="337" spans="5:6" ht="14.25">
      <c r="E337" s="156"/>
      <c r="F337" s="156"/>
    </row>
    <row r="338" spans="5:6" ht="14.25">
      <c r="E338" s="156"/>
      <c r="F338" s="156"/>
    </row>
    <row r="339" spans="5:6" ht="14.25">
      <c r="E339" s="156"/>
      <c r="F339" s="156"/>
    </row>
    <row r="340" spans="5:6" ht="14.25">
      <c r="E340" s="156"/>
      <c r="F340" s="156"/>
    </row>
    <row r="341" spans="5:6" ht="14.25">
      <c r="E341" s="156"/>
      <c r="F341" s="156"/>
    </row>
    <row r="342" spans="5:6" ht="14.25">
      <c r="E342" s="156"/>
      <c r="F342" s="156"/>
    </row>
    <row r="343" spans="5:6" ht="14.25">
      <c r="E343" s="156"/>
      <c r="F343" s="156"/>
    </row>
    <row r="344" spans="5:6" ht="14.25">
      <c r="E344" s="156"/>
      <c r="F344" s="156"/>
    </row>
    <row r="345" spans="5:6" ht="14.25">
      <c r="E345" s="156"/>
      <c r="F345" s="156"/>
    </row>
    <row r="346" spans="5:6" ht="14.25">
      <c r="E346" s="156"/>
      <c r="F346" s="156"/>
    </row>
    <row r="347" spans="5:6" ht="14.25">
      <c r="E347" s="156"/>
      <c r="F347" s="156"/>
    </row>
    <row r="348" spans="5:6" ht="14.25">
      <c r="E348" s="156"/>
      <c r="F348" s="156"/>
    </row>
    <row r="349" spans="5:6" ht="14.25">
      <c r="E349" s="156"/>
      <c r="F349" s="156"/>
    </row>
    <row r="350" spans="5:6" ht="14.25">
      <c r="E350" s="156"/>
      <c r="F350" s="156"/>
    </row>
    <row r="351" spans="5:6" ht="14.25">
      <c r="E351" s="156"/>
      <c r="F351" s="156"/>
    </row>
    <row r="352" spans="5:6" ht="14.25">
      <c r="E352" s="156"/>
      <c r="F352" s="156"/>
    </row>
    <row r="353" spans="5:6" ht="14.25">
      <c r="E353" s="156"/>
      <c r="F353" s="156"/>
    </row>
    <row r="354" spans="5:6" ht="14.25">
      <c r="E354" s="156"/>
      <c r="F354" s="156"/>
    </row>
    <row r="355" spans="5:6" ht="14.25">
      <c r="E355" s="156"/>
      <c r="F355" s="156"/>
    </row>
    <row r="356" spans="5:6" ht="14.25">
      <c r="E356" s="156"/>
      <c r="F356" s="156"/>
    </row>
    <row r="357" spans="5:6" ht="14.25">
      <c r="E357" s="156"/>
      <c r="F357" s="156"/>
    </row>
    <row r="358" spans="5:6" ht="14.25">
      <c r="E358" s="156"/>
      <c r="F358" s="156"/>
    </row>
    <row r="359" spans="5:6" ht="14.25">
      <c r="E359" s="156"/>
      <c r="F359" s="156"/>
    </row>
    <row r="360" spans="5:6" ht="14.25">
      <c r="E360" s="156"/>
      <c r="F360" s="156"/>
    </row>
    <row r="361" spans="5:6" ht="14.25">
      <c r="E361" s="156"/>
      <c r="F361" s="156"/>
    </row>
    <row r="362" spans="5:6" ht="14.25">
      <c r="E362" s="156"/>
      <c r="F362" s="156"/>
    </row>
    <row r="363" spans="5:6" ht="14.25">
      <c r="E363" s="156"/>
      <c r="F363" s="156"/>
    </row>
    <row r="364" spans="5:6" ht="14.25">
      <c r="E364" s="156"/>
      <c r="F364" s="156"/>
    </row>
    <row r="365" spans="5:6" ht="14.25">
      <c r="E365" s="156"/>
      <c r="F365" s="156"/>
    </row>
    <row r="366" spans="5:6" ht="14.25">
      <c r="E366" s="156"/>
      <c r="F366" s="156"/>
    </row>
    <row r="367" spans="5:6" ht="14.25">
      <c r="E367" s="156"/>
      <c r="F367" s="156"/>
    </row>
    <row r="368" spans="5:6" ht="14.25">
      <c r="E368" s="156"/>
      <c r="F368" s="156"/>
    </row>
    <row r="369" spans="5:6" ht="14.25">
      <c r="E369" s="156"/>
      <c r="F369" s="156"/>
    </row>
    <row r="370" spans="5:6" ht="14.25">
      <c r="E370" s="156"/>
      <c r="F370" s="156"/>
    </row>
    <row r="371" spans="5:6" ht="14.25">
      <c r="E371" s="156"/>
      <c r="F371" s="156"/>
    </row>
    <row r="372" spans="5:6" ht="14.25">
      <c r="E372" s="112"/>
      <c r="F372" s="112"/>
    </row>
    <row r="373" spans="5:6" ht="14.25">
      <c r="E373" s="112"/>
      <c r="F373" s="112"/>
    </row>
    <row r="374" spans="5:6" ht="14.25">
      <c r="E374" s="112"/>
      <c r="F374" s="112"/>
    </row>
    <row r="375" spans="5:6" ht="14.25">
      <c r="E375" s="112"/>
      <c r="F375" s="112"/>
    </row>
    <row r="376" spans="5:6" ht="14.25">
      <c r="E376" s="112"/>
      <c r="F376" s="112"/>
    </row>
    <row r="377" spans="5:6" ht="14.25">
      <c r="E377" s="112"/>
      <c r="F377" s="112"/>
    </row>
    <row r="378" spans="5:6" ht="14.25">
      <c r="E378" s="112"/>
      <c r="F378" s="112"/>
    </row>
    <row r="379" spans="5:6" ht="14.25">
      <c r="E379" s="112"/>
      <c r="F379" s="112"/>
    </row>
    <row r="380" spans="5:6" ht="14.25">
      <c r="E380" s="112"/>
      <c r="F380" s="112"/>
    </row>
    <row r="381" spans="5:6" ht="14.25">
      <c r="E381" s="112"/>
      <c r="F381" s="112"/>
    </row>
    <row r="382" spans="5:6" ht="14.25">
      <c r="E382" s="112"/>
      <c r="F382" s="112"/>
    </row>
    <row r="383" spans="5:6" ht="14.25">
      <c r="E383" s="112"/>
      <c r="F383" s="112"/>
    </row>
    <row r="384" spans="5:6" ht="14.25">
      <c r="E384" s="112"/>
      <c r="F384" s="112"/>
    </row>
    <row r="385" spans="5:6" ht="14.25">
      <c r="E385" s="112"/>
      <c r="F385" s="112"/>
    </row>
    <row r="386" spans="5:6" ht="14.25">
      <c r="E386" s="112"/>
      <c r="F386" s="112"/>
    </row>
    <row r="387" spans="5:6" ht="14.25">
      <c r="E387" s="112"/>
      <c r="F387" s="112"/>
    </row>
    <row r="388" spans="5:6" ht="14.25">
      <c r="E388" s="112"/>
      <c r="F388" s="112"/>
    </row>
    <row r="389" spans="5:6" ht="14.25">
      <c r="E389" s="112"/>
      <c r="F389" s="112"/>
    </row>
    <row r="390" spans="5:6" ht="14.25">
      <c r="E390" s="112"/>
      <c r="F390" s="112"/>
    </row>
    <row r="391" spans="5:6" ht="14.25">
      <c r="E391" s="112"/>
      <c r="F391" s="112"/>
    </row>
    <row r="392" spans="5:6" ht="14.25">
      <c r="E392" s="112"/>
      <c r="F392" s="112"/>
    </row>
    <row r="393" spans="5:6" ht="14.25">
      <c r="E393" s="112"/>
      <c r="F393" s="112"/>
    </row>
    <row r="394" spans="5:6" ht="14.25">
      <c r="E394" s="112"/>
      <c r="F394" s="112"/>
    </row>
    <row r="395" spans="5:6" ht="14.25">
      <c r="E395" s="112"/>
      <c r="F395" s="112"/>
    </row>
    <row r="396" spans="5:6" ht="14.25">
      <c r="E396" s="112"/>
      <c r="F396" s="112"/>
    </row>
    <row r="397" spans="5:6" ht="14.25">
      <c r="E397" s="112"/>
      <c r="F397" s="112"/>
    </row>
    <row r="398" spans="5:6" ht="14.25">
      <c r="E398" s="112"/>
      <c r="F398" s="112"/>
    </row>
    <row r="399" spans="5:6" ht="14.25">
      <c r="E399" s="112"/>
      <c r="F399" s="112"/>
    </row>
    <row r="400" spans="5:6" ht="14.25">
      <c r="E400" s="112"/>
      <c r="F400" s="112"/>
    </row>
    <row r="401" spans="5:6" ht="14.25">
      <c r="E401" s="112"/>
      <c r="F401" s="112"/>
    </row>
    <row r="402" spans="5:6" ht="14.25">
      <c r="E402" s="112"/>
      <c r="F402" s="112"/>
    </row>
    <row r="403" spans="5:6" ht="14.25">
      <c r="E403" s="112"/>
      <c r="F403" s="112"/>
    </row>
    <row r="404" spans="5:6" ht="14.25">
      <c r="E404" s="112"/>
      <c r="F404" s="112"/>
    </row>
    <row r="405" spans="5:6" ht="14.25">
      <c r="E405" s="112"/>
      <c r="F405" s="112"/>
    </row>
    <row r="406" spans="5:6" ht="14.25">
      <c r="E406" s="112"/>
      <c r="F406" s="112"/>
    </row>
    <row r="407" spans="5:6" ht="14.25">
      <c r="E407" s="112"/>
      <c r="F407" s="112"/>
    </row>
    <row r="408" spans="5:6" ht="14.25">
      <c r="E408" s="112"/>
      <c r="F408" s="112"/>
    </row>
    <row r="409" spans="5:6" ht="14.25">
      <c r="E409" s="112"/>
      <c r="F409" s="112"/>
    </row>
    <row r="410" spans="5:6" ht="14.25">
      <c r="E410" s="112"/>
      <c r="F410" s="112"/>
    </row>
    <row r="411" spans="5:6" ht="14.25">
      <c r="E411" s="112"/>
      <c r="F411" s="112"/>
    </row>
    <row r="412" spans="5:6" ht="14.25">
      <c r="E412" s="112"/>
      <c r="F412" s="112"/>
    </row>
    <row r="413" spans="5:6" ht="14.25">
      <c r="E413" s="112"/>
      <c r="F413" s="112"/>
    </row>
    <row r="414" spans="5:6" ht="14.25">
      <c r="E414" s="112"/>
      <c r="F414" s="112"/>
    </row>
    <row r="415" spans="5:6" ht="14.25">
      <c r="E415" s="112"/>
      <c r="F415" s="112"/>
    </row>
    <row r="416" spans="5:6" ht="14.25">
      <c r="E416" s="112"/>
      <c r="F416" s="112"/>
    </row>
    <row r="417" spans="5:6" ht="14.25">
      <c r="E417" s="112"/>
      <c r="F417" s="112"/>
    </row>
    <row r="418" spans="5:6" ht="14.25">
      <c r="E418" s="112"/>
      <c r="F418" s="112"/>
    </row>
    <row r="419" spans="5:6" ht="14.25">
      <c r="E419" s="112"/>
      <c r="F419" s="112"/>
    </row>
    <row r="420" spans="5:6" ht="14.25">
      <c r="E420" s="112"/>
      <c r="F420" s="112"/>
    </row>
    <row r="421" spans="5:6" ht="14.25">
      <c r="E421" s="112"/>
      <c r="F421" s="112"/>
    </row>
    <row r="422" spans="5:6" ht="14.25">
      <c r="E422" s="112"/>
      <c r="F422" s="112"/>
    </row>
    <row r="423" spans="5:6" ht="14.25">
      <c r="E423" s="112"/>
      <c r="F423" s="112"/>
    </row>
    <row r="424" spans="5:6" ht="14.25">
      <c r="E424" s="112"/>
      <c r="F424" s="112"/>
    </row>
    <row r="425" spans="5:6" ht="14.25">
      <c r="E425" s="112"/>
      <c r="F425" s="112"/>
    </row>
    <row r="426" spans="5:6" ht="14.25">
      <c r="E426" s="112"/>
      <c r="F426" s="112"/>
    </row>
    <row r="427" spans="5:6" ht="14.25">
      <c r="E427" s="112"/>
      <c r="F427" s="112"/>
    </row>
    <row r="428" spans="5:6" ht="14.25">
      <c r="E428" s="112"/>
      <c r="F428" s="112"/>
    </row>
    <row r="429" spans="5:6" ht="14.25">
      <c r="E429" s="112"/>
      <c r="F429" s="112"/>
    </row>
    <row r="430" spans="5:6" ht="14.25">
      <c r="E430" s="112"/>
      <c r="F430" s="112"/>
    </row>
    <row r="431" spans="5:6" ht="14.25">
      <c r="E431" s="112"/>
      <c r="F431" s="112"/>
    </row>
    <row r="432" spans="5:6" ht="14.25">
      <c r="E432" s="112"/>
      <c r="F432" s="112"/>
    </row>
    <row r="433" spans="5:6" ht="14.25">
      <c r="E433" s="112"/>
      <c r="F433" s="112"/>
    </row>
    <row r="434" spans="5:6" ht="14.25">
      <c r="E434" s="112"/>
      <c r="F434" s="112"/>
    </row>
    <row r="435" spans="5:6" ht="14.25">
      <c r="E435" s="112"/>
      <c r="F435" s="112"/>
    </row>
    <row r="436" spans="5:6" ht="14.25">
      <c r="E436" s="112"/>
      <c r="F436" s="112"/>
    </row>
    <row r="437" spans="5:6" ht="14.25">
      <c r="E437" s="112"/>
      <c r="F437" s="112"/>
    </row>
    <row r="438" spans="5:6" ht="14.25">
      <c r="E438" s="112"/>
      <c r="F438" s="112"/>
    </row>
    <row r="439" spans="5:6" ht="14.25">
      <c r="E439" s="112"/>
      <c r="F439" s="112"/>
    </row>
    <row r="440" spans="5:6" ht="14.25">
      <c r="E440" s="112"/>
      <c r="F440" s="112"/>
    </row>
    <row r="441" spans="5:6" ht="14.25">
      <c r="E441" s="112"/>
      <c r="F441" s="112"/>
    </row>
    <row r="442" spans="5:6" ht="14.25">
      <c r="E442" s="112"/>
      <c r="F442" s="112"/>
    </row>
    <row r="443" spans="5:6" ht="14.25">
      <c r="E443" s="112"/>
      <c r="F443" s="112"/>
    </row>
    <row r="444" spans="5:6" ht="14.25">
      <c r="E444" s="112"/>
      <c r="F444" s="112"/>
    </row>
    <row r="445" spans="5:6" ht="14.25">
      <c r="E445" s="112"/>
      <c r="F445" s="112"/>
    </row>
    <row r="446" spans="5:6" ht="14.25">
      <c r="E446" s="112"/>
      <c r="F446" s="112"/>
    </row>
    <row r="447" spans="5:6" ht="14.25">
      <c r="E447" s="112"/>
      <c r="F447" s="112"/>
    </row>
    <row r="448" spans="5:6" ht="14.25">
      <c r="E448" s="112"/>
      <c r="F448" s="112"/>
    </row>
  </sheetData>
  <sheetProtection/>
  <mergeCells count="21">
    <mergeCell ref="B116:C116"/>
    <mergeCell ref="B117:C117"/>
    <mergeCell ref="B113:C113"/>
    <mergeCell ref="B114:C114"/>
    <mergeCell ref="B115:C115"/>
    <mergeCell ref="B106:C106"/>
    <mergeCell ref="B107:C107"/>
    <mergeCell ref="B112:C112"/>
    <mergeCell ref="B110:C110"/>
    <mergeCell ref="B111:C111"/>
    <mergeCell ref="B108:C108"/>
    <mergeCell ref="B109:C109"/>
    <mergeCell ref="B42:C42"/>
    <mergeCell ref="A1:C1"/>
    <mergeCell ref="B35:C35"/>
    <mergeCell ref="B36:C36"/>
    <mergeCell ref="B37:C37"/>
    <mergeCell ref="B38:C38"/>
    <mergeCell ref="B39:C39"/>
    <mergeCell ref="B40:C40"/>
    <mergeCell ref="B41:C41"/>
  </mergeCells>
  <printOptions horizontalCentered="1"/>
  <pageMargins left="0.1968503937007874" right="0.1968503937007874" top="1.1811023622047245" bottom="0.3937007874015748" header="0.31496062992125984" footer="0.31496062992125984"/>
  <pageSetup firstPageNumber="78" useFirstPageNumber="1" horizontalDpi="600" verticalDpi="600" orientation="portrait" paperSize="9" r:id="rId1"/>
  <headerFooter alignWithMargins="0">
    <oddHeader>&amp;C&amp;"Times New Roman,Félkövér"&amp;14
Vecsés Város Önkormányzat 2011. évi tervezett működési 
céltartaléka&amp;R7a. számú melléklet
ezer Ft</oddHeader>
    <oddFooter>&amp;C- &amp;P -</oddFooter>
  </headerFooter>
  <rowBreaks count="1" manualBreakCount="1">
    <brk id="70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0"/>
  <sheetViews>
    <sheetView zoomScale="120" zoomScaleNormal="120" zoomScalePageLayoutView="0" workbookViewId="0" topLeftCell="A1">
      <selection activeCell="D30" sqref="D30"/>
    </sheetView>
  </sheetViews>
  <sheetFormatPr defaultColWidth="9.140625" defaultRowHeight="12.75"/>
  <cols>
    <col min="1" max="1" width="2.8515625" style="284" customWidth="1"/>
    <col min="2" max="2" width="3.421875" style="284" customWidth="1"/>
    <col min="3" max="3" width="6.8515625" style="284" customWidth="1"/>
    <col min="4" max="4" width="55.28125" style="284" customWidth="1"/>
    <col min="5" max="5" width="11.8515625" style="284" hidden="1" customWidth="1"/>
    <col min="6" max="6" width="11.8515625" style="284" customWidth="1"/>
    <col min="7" max="16384" width="9.140625" style="284" customWidth="1"/>
  </cols>
  <sheetData>
    <row r="1" spans="1:6" ht="48" customHeight="1" thickTop="1">
      <c r="A1" s="1154" t="s">
        <v>9</v>
      </c>
      <c r="B1" s="1155"/>
      <c r="C1" s="1155"/>
      <c r="D1" s="397" t="s">
        <v>10</v>
      </c>
      <c r="E1" s="398" t="s">
        <v>1380</v>
      </c>
      <c r="F1" s="398" t="s">
        <v>1136</v>
      </c>
    </row>
    <row r="2" spans="1:6" ht="15.75" customHeight="1">
      <c r="A2" s="399" t="s">
        <v>14</v>
      </c>
      <c r="B2" s="290"/>
      <c r="C2" s="291"/>
      <c r="D2" s="292" t="s">
        <v>721</v>
      </c>
      <c r="E2" s="293">
        <f>SUM(E3)</f>
        <v>536902</v>
      </c>
      <c r="F2" s="293">
        <f>SUM(F3)</f>
        <v>673816</v>
      </c>
    </row>
    <row r="3" spans="1:7" ht="17.25" customHeight="1">
      <c r="A3" s="399"/>
      <c r="B3" s="294" t="s">
        <v>1514</v>
      </c>
      <c r="C3" s="295"/>
      <c r="D3" s="288" t="s">
        <v>722</v>
      </c>
      <c r="E3" s="285">
        <f>SUM(E10:E17)+E6</f>
        <v>536902</v>
      </c>
      <c r="F3" s="285">
        <f>SUM(F6+F11+F12+F13)</f>
        <v>673816</v>
      </c>
      <c r="G3" s="289"/>
    </row>
    <row r="4" spans="1:6" ht="17.25" customHeight="1" hidden="1">
      <c r="A4" s="399"/>
      <c r="B4" s="400"/>
      <c r="C4" s="296"/>
      <c r="D4" s="287" t="s">
        <v>1407</v>
      </c>
      <c r="E4" s="297"/>
      <c r="F4" s="297"/>
    </row>
    <row r="5" spans="1:6" ht="17.25" customHeight="1" hidden="1">
      <c r="A5" s="399"/>
      <c r="B5" s="294"/>
      <c r="C5" s="295"/>
      <c r="D5" s="288"/>
      <c r="E5" s="297">
        <v>0</v>
      </c>
      <c r="F5" s="458"/>
    </row>
    <row r="6" spans="1:10" ht="15">
      <c r="A6" s="399"/>
      <c r="B6" s="1217" t="s">
        <v>54</v>
      </c>
      <c r="C6" s="295"/>
      <c r="D6" s="288" t="s">
        <v>905</v>
      </c>
      <c r="E6" s="297">
        <v>27597</v>
      </c>
      <c r="F6" s="297">
        <f>SUM(F7:F9)</f>
        <v>561978</v>
      </c>
      <c r="J6" s="289"/>
    </row>
    <row r="7" spans="1:6" ht="15">
      <c r="A7" s="399"/>
      <c r="B7" s="1218" t="s">
        <v>1641</v>
      </c>
      <c r="C7" s="295"/>
      <c r="D7" s="1015" t="s">
        <v>1082</v>
      </c>
      <c r="E7" s="407"/>
      <c r="F7" s="297">
        <v>561978</v>
      </c>
    </row>
    <row r="8" spans="1:6" ht="15">
      <c r="A8" s="399"/>
      <c r="B8" s="1218" t="s">
        <v>1642</v>
      </c>
      <c r="C8" s="295"/>
      <c r="D8" s="1015" t="s">
        <v>903</v>
      </c>
      <c r="E8" s="458"/>
      <c r="F8" s="297">
        <v>0</v>
      </c>
    </row>
    <row r="9" spans="1:6" ht="30">
      <c r="A9" s="399"/>
      <c r="B9" s="1218" t="s">
        <v>1643</v>
      </c>
      <c r="C9" s="295"/>
      <c r="D9" s="1015" t="s">
        <v>904</v>
      </c>
      <c r="E9" s="458"/>
      <c r="F9" s="1014">
        <v>0</v>
      </c>
    </row>
    <row r="10" spans="1:6" ht="15" hidden="1">
      <c r="A10" s="399"/>
      <c r="B10" s="294"/>
      <c r="C10" s="295"/>
      <c r="D10" s="288"/>
      <c r="E10" s="297">
        <v>500000</v>
      </c>
      <c r="F10" s="458"/>
    </row>
    <row r="11" spans="1:6" ht="15">
      <c r="A11" s="399"/>
      <c r="B11" s="1217" t="s">
        <v>627</v>
      </c>
      <c r="C11" s="295"/>
      <c r="D11" s="288" t="s">
        <v>167</v>
      </c>
      <c r="E11" s="407"/>
      <c r="F11" s="297">
        <v>87325</v>
      </c>
    </row>
    <row r="12" spans="1:6" ht="26.25" customHeight="1">
      <c r="A12" s="399"/>
      <c r="B12" s="1217" t="s">
        <v>628</v>
      </c>
      <c r="C12" s="295"/>
      <c r="D12" s="401" t="s">
        <v>1381</v>
      </c>
      <c r="E12" s="407"/>
      <c r="F12" s="297">
        <v>1000</v>
      </c>
    </row>
    <row r="13" spans="1:6" ht="15">
      <c r="A13" s="399"/>
      <c r="B13" s="1217" t="s">
        <v>629</v>
      </c>
      <c r="C13" s="295"/>
      <c r="D13" s="288" t="s">
        <v>906</v>
      </c>
      <c r="E13" s="407"/>
      <c r="F13" s="297">
        <f>SUM(F14:F17)</f>
        <v>23513</v>
      </c>
    </row>
    <row r="14" spans="1:6" ht="15">
      <c r="A14" s="399"/>
      <c r="B14" s="1218" t="s">
        <v>1644</v>
      </c>
      <c r="C14" s="295"/>
      <c r="D14" s="1015" t="s">
        <v>1085</v>
      </c>
      <c r="E14" s="407"/>
      <c r="F14" s="297">
        <v>23463</v>
      </c>
    </row>
    <row r="15" spans="1:6" ht="15">
      <c r="A15" s="399"/>
      <c r="B15" s="1218" t="s">
        <v>1645</v>
      </c>
      <c r="C15" s="295"/>
      <c r="D15" s="1015" t="s">
        <v>907</v>
      </c>
      <c r="E15" s="297">
        <v>1755</v>
      </c>
      <c r="F15" s="297"/>
    </row>
    <row r="16" spans="1:6" ht="15">
      <c r="A16" s="399"/>
      <c r="B16" s="1218" t="s">
        <v>1646</v>
      </c>
      <c r="C16" s="295"/>
      <c r="D16" s="1015" t="s">
        <v>908</v>
      </c>
      <c r="E16" s="297">
        <v>1550</v>
      </c>
      <c r="F16" s="297"/>
    </row>
    <row r="17" spans="1:6" ht="18" customHeight="1">
      <c r="A17" s="399"/>
      <c r="B17" s="1218" t="s">
        <v>1647</v>
      </c>
      <c r="C17" s="295"/>
      <c r="D17" s="1015" t="s">
        <v>909</v>
      </c>
      <c r="E17" s="297">
        <v>6000</v>
      </c>
      <c r="F17" s="297">
        <v>50</v>
      </c>
    </row>
    <row r="18" spans="1:6" ht="17.25" customHeight="1">
      <c r="A18" s="399" t="s">
        <v>19</v>
      </c>
      <c r="B18" s="298"/>
      <c r="C18" s="295"/>
      <c r="D18" s="292" t="s">
        <v>596</v>
      </c>
      <c r="E18" s="293">
        <f>SUM(E19+E20+E21+E23)</f>
        <v>68000</v>
      </c>
      <c r="F18" s="293">
        <f>SUM(F19+F20+F21+F23+F40)+F24+F25+F26+F27+F28</f>
        <v>63900</v>
      </c>
    </row>
    <row r="19" spans="1:6" s="300" customFormat="1" ht="17.25" customHeight="1">
      <c r="A19" s="399"/>
      <c r="B19" s="294" t="s">
        <v>1105</v>
      </c>
      <c r="C19" s="299"/>
      <c r="D19" s="288" t="s">
        <v>1057</v>
      </c>
      <c r="E19" s="285">
        <v>30000</v>
      </c>
      <c r="F19" s="285">
        <v>25000</v>
      </c>
    </row>
    <row r="20" spans="1:6" ht="17.25" customHeight="1">
      <c r="A20" s="399"/>
      <c r="B20" s="294" t="s">
        <v>1106</v>
      </c>
      <c r="C20" s="299"/>
      <c r="D20" s="288" t="s">
        <v>1387</v>
      </c>
      <c r="E20" s="285">
        <v>35000</v>
      </c>
      <c r="F20" s="285">
        <v>0</v>
      </c>
    </row>
    <row r="21" spans="1:6" ht="28.5" customHeight="1">
      <c r="A21" s="399"/>
      <c r="B21" s="294" t="s">
        <v>1107</v>
      </c>
      <c r="C21" s="299"/>
      <c r="D21" s="288" t="s">
        <v>1455</v>
      </c>
      <c r="E21" s="285">
        <v>2000</v>
      </c>
      <c r="F21" s="285"/>
    </row>
    <row r="22" spans="1:6" ht="15">
      <c r="A22" s="399"/>
      <c r="B22" s="294" t="s">
        <v>46</v>
      </c>
      <c r="C22" s="299"/>
      <c r="D22" s="288" t="s">
        <v>1453</v>
      </c>
      <c r="E22" s="285">
        <v>0</v>
      </c>
      <c r="F22" s="285"/>
    </row>
    <row r="23" spans="1:6" ht="15">
      <c r="A23" s="399"/>
      <c r="B23" s="294" t="s">
        <v>1108</v>
      </c>
      <c r="C23" s="299"/>
      <c r="D23" s="288" t="s">
        <v>1449</v>
      </c>
      <c r="E23" s="285">
        <v>1000</v>
      </c>
      <c r="F23" s="285"/>
    </row>
    <row r="24" spans="1:6" ht="30">
      <c r="A24" s="399"/>
      <c r="B24" s="294" t="s">
        <v>305</v>
      </c>
      <c r="C24" s="299"/>
      <c r="D24" s="288" t="s">
        <v>910</v>
      </c>
      <c r="E24" s="285"/>
      <c r="F24" s="285">
        <v>10000</v>
      </c>
    </row>
    <row r="25" spans="1:6" ht="15">
      <c r="A25" s="399"/>
      <c r="B25" s="294" t="s">
        <v>1182</v>
      </c>
      <c r="C25" s="299"/>
      <c r="D25" s="288" t="s">
        <v>911</v>
      </c>
      <c r="E25" s="285"/>
      <c r="F25" s="285">
        <v>100</v>
      </c>
    </row>
    <row r="26" spans="1:6" ht="30">
      <c r="A26" s="399"/>
      <c r="B26" s="294" t="s">
        <v>1181</v>
      </c>
      <c r="C26" s="299"/>
      <c r="D26" s="288" t="s">
        <v>912</v>
      </c>
      <c r="E26" s="285"/>
      <c r="F26" s="285"/>
    </row>
    <row r="27" spans="1:6" ht="18.75" customHeight="1">
      <c r="A27" s="399"/>
      <c r="B27" s="294" t="s">
        <v>1510</v>
      </c>
      <c r="C27" s="299"/>
      <c r="D27" s="288" t="s">
        <v>933</v>
      </c>
      <c r="E27" s="285"/>
      <c r="F27" s="285"/>
    </row>
    <row r="28" spans="1:6" ht="15">
      <c r="A28" s="399"/>
      <c r="B28" s="294" t="s">
        <v>1648</v>
      </c>
      <c r="C28" s="299"/>
      <c r="D28" s="288" t="s">
        <v>416</v>
      </c>
      <c r="E28" s="285"/>
      <c r="F28" s="285">
        <v>28800</v>
      </c>
    </row>
    <row r="29" spans="1:6" ht="15">
      <c r="A29" s="399"/>
      <c r="B29" s="294"/>
      <c r="C29" s="299"/>
      <c r="D29" s="288"/>
      <c r="E29" s="285"/>
      <c r="F29" s="285"/>
    </row>
    <row r="30" spans="1:6" ht="15">
      <c r="A30" s="399"/>
      <c r="B30" s="294"/>
      <c r="C30" s="299"/>
      <c r="D30" s="288"/>
      <c r="E30" s="285"/>
      <c r="F30" s="285"/>
    </row>
    <row r="31" spans="1:6" ht="17.25" customHeight="1" hidden="1">
      <c r="A31" s="399"/>
      <c r="B31" s="294"/>
      <c r="C31" s="296" t="s">
        <v>1430</v>
      </c>
      <c r="D31" s="301" t="s">
        <v>1439</v>
      </c>
      <c r="E31" s="286"/>
      <c r="F31" s="286"/>
    </row>
    <row r="32" spans="1:6" ht="17.25" customHeight="1" hidden="1">
      <c r="A32" s="399"/>
      <c r="B32" s="294"/>
      <c r="C32" s="296" t="s">
        <v>1431</v>
      </c>
      <c r="D32" s="302" t="s">
        <v>1440</v>
      </c>
      <c r="E32" s="286"/>
      <c r="F32" s="286"/>
    </row>
    <row r="33" spans="1:6" ht="17.25" customHeight="1" hidden="1">
      <c r="A33" s="399"/>
      <c r="B33" s="294"/>
      <c r="C33" s="296" t="s">
        <v>1432</v>
      </c>
      <c r="D33" s="302" t="s">
        <v>1441</v>
      </c>
      <c r="E33" s="286"/>
      <c r="F33" s="286"/>
    </row>
    <row r="34" spans="1:6" ht="17.25" customHeight="1" hidden="1">
      <c r="A34" s="399"/>
      <c r="B34" s="294"/>
      <c r="C34" s="296" t="s">
        <v>1433</v>
      </c>
      <c r="D34" s="302" t="s">
        <v>1442</v>
      </c>
      <c r="E34" s="286"/>
      <c r="F34" s="286"/>
    </row>
    <row r="35" ht="12.75" hidden="1"/>
    <row r="36" ht="12.75" hidden="1"/>
    <row r="37" ht="12.75" hidden="1"/>
    <row r="38" ht="12.75" hidden="1"/>
    <row r="39" ht="12.75" hidden="1"/>
    <row r="40" spans="1:6" ht="20.25" customHeight="1" hidden="1">
      <c r="A40" s="421"/>
      <c r="B40" s="294"/>
      <c r="C40" s="422"/>
      <c r="D40" s="423"/>
      <c r="E40" s="424"/>
      <c r="F40" s="424"/>
    </row>
    <row r="41" spans="1:6" ht="21" customHeight="1" thickBot="1">
      <c r="A41" s="402"/>
      <c r="B41" s="403"/>
      <c r="C41" s="404"/>
      <c r="D41" s="405" t="s">
        <v>1388</v>
      </c>
      <c r="E41" s="406">
        <f>SUM(E18+E2)</f>
        <v>604902</v>
      </c>
      <c r="F41" s="406">
        <f>SUM(F18+F2)</f>
        <v>737716</v>
      </c>
    </row>
    <row r="42" spans="1:4" ht="15" thickTop="1">
      <c r="A42" s="303"/>
      <c r="B42" s="304"/>
      <c r="C42" s="304"/>
      <c r="D42" s="303"/>
    </row>
    <row r="43" spans="1:4" ht="14.25">
      <c r="A43" s="303"/>
      <c r="B43" s="304"/>
      <c r="C43" s="304"/>
      <c r="D43" s="303"/>
    </row>
    <row r="44" spans="1:4" ht="14.25">
      <c r="A44" s="303"/>
      <c r="B44" s="304"/>
      <c r="C44" s="304"/>
      <c r="D44" s="303"/>
    </row>
    <row r="45" spans="1:4" ht="14.25">
      <c r="A45" s="303"/>
      <c r="B45" s="303"/>
      <c r="C45" s="303"/>
      <c r="D45" s="303"/>
    </row>
    <row r="46" spans="1:4" ht="14.25">
      <c r="A46" s="303"/>
      <c r="B46" s="303"/>
      <c r="C46" s="303"/>
      <c r="D46" s="303"/>
    </row>
    <row r="47" ht="14.25">
      <c r="D47" s="303"/>
    </row>
    <row r="48" ht="14.25">
      <c r="D48" s="303"/>
    </row>
    <row r="49" ht="14.25">
      <c r="D49" s="303"/>
    </row>
    <row r="50" ht="14.25">
      <c r="D50" s="303"/>
    </row>
    <row r="51" ht="14.25">
      <c r="D51" s="303"/>
    </row>
    <row r="52" ht="14.25">
      <c r="D52" s="303"/>
    </row>
    <row r="53" ht="14.25">
      <c r="D53" s="303"/>
    </row>
    <row r="54" ht="14.25">
      <c r="D54" s="303"/>
    </row>
    <row r="55" ht="14.25">
      <c r="D55" s="303"/>
    </row>
    <row r="56" ht="14.25">
      <c r="D56" s="303"/>
    </row>
    <row r="57" ht="14.25">
      <c r="D57" s="303"/>
    </row>
    <row r="58" ht="14.25">
      <c r="D58" s="303"/>
    </row>
    <row r="59" ht="14.25">
      <c r="D59" s="303"/>
    </row>
    <row r="60" ht="14.25">
      <c r="D60" s="303"/>
    </row>
    <row r="61" ht="14.25">
      <c r="D61" s="303"/>
    </row>
    <row r="62" ht="14.25">
      <c r="D62" s="303"/>
    </row>
    <row r="63" ht="14.25">
      <c r="D63" s="303"/>
    </row>
    <row r="64" ht="14.25">
      <c r="D64" s="303"/>
    </row>
    <row r="65" ht="14.25">
      <c r="D65" s="303"/>
    </row>
    <row r="66" ht="14.25">
      <c r="D66" s="303"/>
    </row>
    <row r="67" ht="14.25">
      <c r="D67" s="303"/>
    </row>
    <row r="68" ht="14.25">
      <c r="D68" s="303"/>
    </row>
    <row r="69" ht="14.25">
      <c r="D69" s="303"/>
    </row>
    <row r="70" ht="14.25">
      <c r="D70" s="303"/>
    </row>
    <row r="71" ht="14.25">
      <c r="D71" s="303"/>
    </row>
    <row r="72" ht="14.25">
      <c r="D72" s="303"/>
    </row>
    <row r="73" ht="14.25">
      <c r="D73" s="303"/>
    </row>
    <row r="74" ht="14.25">
      <c r="D74" s="303"/>
    </row>
    <row r="75" ht="14.25">
      <c r="D75" s="303"/>
    </row>
    <row r="76" ht="14.25">
      <c r="D76" s="303"/>
    </row>
    <row r="77" ht="14.25">
      <c r="D77" s="303"/>
    </row>
    <row r="78" ht="14.25">
      <c r="D78" s="303"/>
    </row>
    <row r="79" ht="14.25">
      <c r="D79" s="303"/>
    </row>
    <row r="80" ht="14.25">
      <c r="D80" s="303"/>
    </row>
    <row r="81" ht="14.25">
      <c r="D81" s="303"/>
    </row>
    <row r="82" ht="14.25">
      <c r="D82" s="303"/>
    </row>
    <row r="83" ht="14.25">
      <c r="D83" s="303"/>
    </row>
    <row r="84" ht="14.25">
      <c r="D84" s="303"/>
    </row>
    <row r="85" ht="14.25">
      <c r="D85" s="303"/>
    </row>
    <row r="86" ht="14.25">
      <c r="D86" s="303"/>
    </row>
    <row r="87" ht="14.25">
      <c r="D87" s="303"/>
    </row>
    <row r="88" ht="14.25">
      <c r="D88" s="303"/>
    </row>
    <row r="89" ht="14.25">
      <c r="D89" s="303"/>
    </row>
    <row r="90" ht="14.25">
      <c r="D90" s="303"/>
    </row>
    <row r="91" ht="14.25">
      <c r="D91" s="303"/>
    </row>
    <row r="92" ht="14.25">
      <c r="D92" s="303"/>
    </row>
    <row r="93" ht="14.25">
      <c r="D93" s="303"/>
    </row>
    <row r="94" ht="14.25">
      <c r="D94" s="303"/>
    </row>
    <row r="95" ht="14.25">
      <c r="D95" s="303"/>
    </row>
    <row r="96" ht="14.25">
      <c r="D96" s="303"/>
    </row>
    <row r="97" ht="14.25">
      <c r="D97" s="303"/>
    </row>
    <row r="98" ht="14.25">
      <c r="D98" s="303"/>
    </row>
    <row r="99" ht="14.25">
      <c r="D99" s="303"/>
    </row>
    <row r="100" ht="14.25">
      <c r="D100" s="303"/>
    </row>
  </sheetData>
  <sheetProtection/>
  <mergeCells count="1">
    <mergeCell ref="A1:C1"/>
  </mergeCells>
  <printOptions horizontalCentered="1"/>
  <pageMargins left="0.1968503937007874" right="0.1968503937007874" top="1.1023622047244095" bottom="0.3937007874015748" header="0.31496062992125984" footer="0.5118110236220472"/>
  <pageSetup firstPageNumber="81" useFirstPageNumber="1" horizontalDpi="600" verticalDpi="600" orientation="portrait" paperSize="9" r:id="rId1"/>
  <headerFooter alignWithMargins="0">
    <oddHeader>&amp;C&amp;"Times New Roman,Félkövér"&amp;14
Vecsés Város Önkormányzat 2011. évi tervezett felhalmozási céltartaléka&amp;R7b. számú melléklet
ezer Ft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3">
      <selection activeCell="B27" sqref="B27:I27"/>
    </sheetView>
  </sheetViews>
  <sheetFormatPr defaultColWidth="8.00390625" defaultRowHeight="12.75"/>
  <cols>
    <col min="1" max="1" width="5.8515625" style="461" customWidth="1"/>
    <col min="2" max="2" width="42.57421875" style="462" customWidth="1"/>
    <col min="3" max="4" width="11.00390625" style="462" customWidth="1"/>
    <col min="5" max="5" width="12.00390625" style="462" customWidth="1"/>
    <col min="6" max="7" width="12.8515625" style="462" customWidth="1"/>
    <col min="8" max="8" width="12.57421875" style="462" customWidth="1"/>
    <col min="9" max="9" width="11.8515625" style="462" customWidth="1"/>
    <col min="10" max="10" width="8.00390625" style="462" customWidth="1"/>
    <col min="11" max="11" width="10.140625" style="462" bestFit="1" customWidth="1"/>
    <col min="12" max="12" width="8.00390625" style="462" customWidth="1"/>
    <col min="13" max="13" width="10.140625" style="462" bestFit="1" customWidth="1"/>
    <col min="14" max="16384" width="8.00390625" style="462" customWidth="1"/>
  </cols>
  <sheetData>
    <row r="1" ht="15" customHeight="1" thickBot="1">
      <c r="I1" s="463" t="s">
        <v>1221</v>
      </c>
    </row>
    <row r="2" spans="1:9" s="464" customFormat="1" ht="26.25" customHeight="1">
      <c r="A2" s="1156" t="s">
        <v>1222</v>
      </c>
      <c r="B2" s="1158" t="s">
        <v>1223</v>
      </c>
      <c r="C2" s="1156" t="s">
        <v>1224</v>
      </c>
      <c r="D2" s="1156" t="s">
        <v>1140</v>
      </c>
      <c r="E2" s="1161"/>
      <c r="F2" s="1161"/>
      <c r="G2" s="1161"/>
      <c r="H2" s="1162"/>
      <c r="I2" s="1158" t="s">
        <v>1225</v>
      </c>
    </row>
    <row r="3" spans="1:9" s="467" customFormat="1" ht="38.25" customHeight="1" thickBot="1">
      <c r="A3" s="1157"/>
      <c r="B3" s="1159"/>
      <c r="C3" s="1159"/>
      <c r="D3" s="1157"/>
      <c r="E3" s="465" t="s">
        <v>1227</v>
      </c>
      <c r="F3" s="465" t="s">
        <v>1228</v>
      </c>
      <c r="G3" s="465" t="s">
        <v>1141</v>
      </c>
      <c r="H3" s="466" t="s">
        <v>1142</v>
      </c>
      <c r="I3" s="1159"/>
    </row>
    <row r="4" spans="1:9" s="473" customFormat="1" ht="36.75" customHeight="1" thickBot="1">
      <c r="A4" s="468">
        <v>1</v>
      </c>
      <c r="B4" s="469">
        <v>2</v>
      </c>
      <c r="C4" s="470">
        <v>3</v>
      </c>
      <c r="D4" s="469">
        <v>4</v>
      </c>
      <c r="E4" s="468">
        <v>5</v>
      </c>
      <c r="F4" s="470">
        <v>6</v>
      </c>
      <c r="G4" s="470">
        <v>7</v>
      </c>
      <c r="H4" s="471">
        <v>8</v>
      </c>
      <c r="I4" s="472" t="s">
        <v>1229</v>
      </c>
    </row>
    <row r="5" spans="1:9" s="482" customFormat="1" ht="30" customHeight="1" thickBot="1">
      <c r="A5" s="474" t="s">
        <v>14</v>
      </c>
      <c r="B5" s="475" t="s">
        <v>1230</v>
      </c>
      <c r="C5" s="476"/>
      <c r="D5" s="477">
        <f>SUM(D6:D6)</f>
        <v>0</v>
      </c>
      <c r="E5" s="478">
        <f>SUM(E6:E6)</f>
        <v>0</v>
      </c>
      <c r="F5" s="478">
        <f>SUM(F6:F6)</f>
        <v>0</v>
      </c>
      <c r="G5" s="479"/>
      <c r="H5" s="480">
        <f>SUM(H6:H6)</f>
        <v>0</v>
      </c>
      <c r="I5" s="481">
        <f aca="true" t="shared" si="0" ref="I5:I11">SUM(D5:H5)</f>
        <v>0</v>
      </c>
    </row>
    <row r="6" spans="1:9" s="482" customFormat="1" ht="19.5" customHeight="1" thickBot="1">
      <c r="A6" s="483" t="s">
        <v>19</v>
      </c>
      <c r="B6" s="484"/>
      <c r="C6" s="485"/>
      <c r="D6" s="486"/>
      <c r="E6" s="487"/>
      <c r="F6" s="487"/>
      <c r="G6" s="488"/>
      <c r="H6" s="489"/>
      <c r="I6" s="490">
        <f t="shared" si="0"/>
        <v>0</v>
      </c>
    </row>
    <row r="7" spans="1:9" s="482" customFormat="1" ht="36.75" customHeight="1" thickBot="1">
      <c r="A7" s="474" t="s">
        <v>22</v>
      </c>
      <c r="B7" s="491" t="s">
        <v>1231</v>
      </c>
      <c r="C7" s="492"/>
      <c r="D7" s="493">
        <f>SUM(D8:D12)</f>
        <v>166324</v>
      </c>
      <c r="E7" s="493">
        <f>SUM(E8:E12)</f>
        <v>90450</v>
      </c>
      <c r="F7" s="493">
        <f>SUM(F8:F12)</f>
        <v>86010</v>
      </c>
      <c r="G7" s="493">
        <f>SUM(G8:G12)</f>
        <v>86010</v>
      </c>
      <c r="H7" s="493">
        <f>SUM(H8:H12)</f>
        <v>1593018</v>
      </c>
      <c r="I7" s="494">
        <f t="shared" si="0"/>
        <v>2021812</v>
      </c>
    </row>
    <row r="8" spans="1:13" s="482" customFormat="1" ht="35.25" customHeight="1" thickBot="1">
      <c r="A8" s="474" t="s">
        <v>1156</v>
      </c>
      <c r="B8" s="495" t="s">
        <v>1233</v>
      </c>
      <c r="C8" s="496">
        <v>2010</v>
      </c>
      <c r="D8" s="497">
        <v>0</v>
      </c>
      <c r="E8" s="498">
        <v>7129</v>
      </c>
      <c r="F8" s="498">
        <v>6167</v>
      </c>
      <c r="G8" s="498">
        <v>6167</v>
      </c>
      <c r="H8" s="498">
        <v>206167</v>
      </c>
      <c r="I8" s="499">
        <f t="shared" si="0"/>
        <v>225630</v>
      </c>
      <c r="K8" s="482">
        <v>4035252</v>
      </c>
      <c r="M8" s="482" t="e">
        <f>SUM(K8-#REF!)</f>
        <v>#REF!</v>
      </c>
    </row>
    <row r="9" spans="1:9" s="482" customFormat="1" ht="37.5" customHeight="1" thickBot="1">
      <c r="A9" s="474" t="s">
        <v>23</v>
      </c>
      <c r="B9" s="500" t="s">
        <v>1232</v>
      </c>
      <c r="C9" s="501">
        <v>2006</v>
      </c>
      <c r="D9" s="502">
        <v>27392</v>
      </c>
      <c r="E9" s="503">
        <v>5206</v>
      </c>
      <c r="F9" s="503"/>
      <c r="G9" s="498"/>
      <c r="H9" s="503"/>
      <c r="I9" s="499">
        <f t="shared" si="0"/>
        <v>32598</v>
      </c>
    </row>
    <row r="10" spans="1:9" s="482" customFormat="1" ht="27" customHeight="1" thickBot="1">
      <c r="A10" s="474" t="s">
        <v>24</v>
      </c>
      <c r="B10" s="504" t="s">
        <v>1234</v>
      </c>
      <c r="C10" s="505">
        <v>2007</v>
      </c>
      <c r="D10" s="506">
        <v>25379</v>
      </c>
      <c r="E10" s="507">
        <v>5029</v>
      </c>
      <c r="F10" s="507">
        <v>6757</v>
      </c>
      <c r="G10" s="508">
        <v>6757</v>
      </c>
      <c r="H10" s="508">
        <v>508098</v>
      </c>
      <c r="I10" s="499">
        <f t="shared" si="0"/>
        <v>552020</v>
      </c>
    </row>
    <row r="11" spans="1:9" s="482" customFormat="1" ht="27" customHeight="1" thickBot="1">
      <c r="A11" s="474" t="s">
        <v>26</v>
      </c>
      <c r="B11" s="504" t="s">
        <v>1235</v>
      </c>
      <c r="C11" s="505">
        <v>2008</v>
      </c>
      <c r="D11" s="506">
        <v>97996</v>
      </c>
      <c r="E11" s="509">
        <v>65436</v>
      </c>
      <c r="F11" s="509">
        <v>65436</v>
      </c>
      <c r="G11" s="510">
        <v>65436</v>
      </c>
      <c r="H11" s="511">
        <v>766709</v>
      </c>
      <c r="I11" s="499">
        <f t="shared" si="0"/>
        <v>1061013</v>
      </c>
    </row>
    <row r="12" spans="1:9" s="482" customFormat="1" ht="31.5" customHeight="1" thickBot="1">
      <c r="A12" s="474" t="s">
        <v>28</v>
      </c>
      <c r="B12" s="504" t="s">
        <v>1236</v>
      </c>
      <c r="C12" s="505">
        <v>2008</v>
      </c>
      <c r="D12" s="506">
        <v>15557</v>
      </c>
      <c r="E12" s="509">
        <v>7650</v>
      </c>
      <c r="F12" s="509">
        <v>7650</v>
      </c>
      <c r="G12" s="510">
        <v>7650</v>
      </c>
      <c r="H12" s="511">
        <v>112044</v>
      </c>
      <c r="I12" s="499">
        <f>SUM(D12:H12)</f>
        <v>150551</v>
      </c>
    </row>
    <row r="13" spans="1:9" s="482" customFormat="1" ht="19.5" customHeight="1" thickBot="1">
      <c r="A13" s="474" t="s">
        <v>711</v>
      </c>
      <c r="B13" s="491" t="s">
        <v>1237</v>
      </c>
      <c r="C13" s="476"/>
      <c r="D13" s="477">
        <f>SUM(D14:D14)</f>
        <v>0</v>
      </c>
      <c r="E13" s="478">
        <f>SUM(E14:E14)</f>
        <v>0</v>
      </c>
      <c r="F13" s="478">
        <f>SUM(F14:F14)</f>
        <v>0</v>
      </c>
      <c r="G13" s="479"/>
      <c r="H13" s="480">
        <f>SUM(H14:H14)</f>
        <v>0</v>
      </c>
      <c r="I13" s="481">
        <f aca="true" t="shared" si="1" ref="I13:I20">SUM(D13:H13)</f>
        <v>0</v>
      </c>
    </row>
    <row r="14" spans="1:9" s="482" customFormat="1" ht="19.5" customHeight="1" thickBot="1">
      <c r="A14" s="474" t="s">
        <v>540</v>
      </c>
      <c r="B14" s="484"/>
      <c r="C14" s="485"/>
      <c r="D14" s="486"/>
      <c r="E14" s="487"/>
      <c r="F14" s="487"/>
      <c r="G14" s="488"/>
      <c r="H14" s="489"/>
      <c r="I14" s="490">
        <f t="shared" si="1"/>
        <v>0</v>
      </c>
    </row>
    <row r="15" spans="1:10" s="482" customFormat="1" ht="19.5" customHeight="1" thickBot="1">
      <c r="A15" s="474" t="s">
        <v>712</v>
      </c>
      <c r="B15" s="491" t="s">
        <v>1238</v>
      </c>
      <c r="C15" s="476"/>
      <c r="D15" s="477">
        <f>SUM(D16:D16)</f>
        <v>0</v>
      </c>
      <c r="E15" s="478">
        <f>SUM(E16:E16)</f>
        <v>0</v>
      </c>
      <c r="F15" s="478">
        <f>SUM(F16:F16)</f>
        <v>0</v>
      </c>
      <c r="G15" s="479"/>
      <c r="H15" s="480">
        <f>SUM(H16:H16)</f>
        <v>0</v>
      </c>
      <c r="I15" s="481">
        <f t="shared" si="1"/>
        <v>0</v>
      </c>
      <c r="J15" s="512"/>
    </row>
    <row r="16" spans="1:9" s="482" customFormat="1" ht="19.5" customHeight="1" thickBot="1">
      <c r="A16" s="474" t="s">
        <v>713</v>
      </c>
      <c r="B16" s="513"/>
      <c r="C16" s="514"/>
      <c r="D16" s="515"/>
      <c r="E16" s="516"/>
      <c r="F16" s="516"/>
      <c r="G16" s="517"/>
      <c r="H16" s="518"/>
      <c r="I16" s="519">
        <f t="shared" si="1"/>
        <v>0</v>
      </c>
    </row>
    <row r="17" spans="1:9" s="482" customFormat="1" ht="19.5" customHeight="1" thickBot="1">
      <c r="A17" s="474" t="s">
        <v>152</v>
      </c>
      <c r="B17" s="491" t="s">
        <v>1239</v>
      </c>
      <c r="C17" s="476"/>
      <c r="D17" s="520">
        <f>SUM(D18:D19)</f>
        <v>17977</v>
      </c>
      <c r="E17" s="520">
        <f>SUM(E18:E19)</f>
        <v>1748</v>
      </c>
      <c r="F17" s="520">
        <f>SUM(F18:F19)</f>
        <v>1823</v>
      </c>
      <c r="G17" s="520">
        <f>SUM(G18:G19)</f>
        <v>0</v>
      </c>
      <c r="H17" s="520">
        <f>SUM(H18:H19)</f>
        <v>0</v>
      </c>
      <c r="I17" s="481">
        <f t="shared" si="1"/>
        <v>21548</v>
      </c>
    </row>
    <row r="18" spans="1:9" s="482" customFormat="1" ht="19.5" customHeight="1" thickBot="1">
      <c r="A18" s="474" t="s">
        <v>548</v>
      </c>
      <c r="B18" s="521"/>
      <c r="C18" s="522"/>
      <c r="D18" s="523"/>
      <c r="E18" s="524"/>
      <c r="F18" s="524">
        <v>0</v>
      </c>
      <c r="G18" s="525"/>
      <c r="H18" s="526"/>
      <c r="I18" s="527">
        <f t="shared" si="1"/>
        <v>0</v>
      </c>
    </row>
    <row r="19" spans="1:9" s="482" customFormat="1" ht="19.5" customHeight="1" thickBot="1">
      <c r="A19" s="474" t="s">
        <v>549</v>
      </c>
      <c r="B19" s="528" t="s">
        <v>1240</v>
      </c>
      <c r="C19" s="529">
        <v>2003</v>
      </c>
      <c r="D19" s="530">
        <v>17977</v>
      </c>
      <c r="E19" s="531">
        <v>1748</v>
      </c>
      <c r="F19" s="531">
        <v>1823</v>
      </c>
      <c r="G19" s="532"/>
      <c r="H19" s="533">
        <v>0</v>
      </c>
      <c r="I19" s="527">
        <f t="shared" si="1"/>
        <v>21548</v>
      </c>
    </row>
    <row r="20" spans="1:9" s="482" customFormat="1" ht="19.5" customHeight="1" thickBot="1">
      <c r="A20" s="1163" t="s">
        <v>1241</v>
      </c>
      <c r="B20" s="1164"/>
      <c r="C20" s="534"/>
      <c r="D20" s="477">
        <f>D5+D7+D13+D15+D17</f>
        <v>184301</v>
      </c>
      <c r="E20" s="478">
        <f>E5+E7+E13+E15+E17</f>
        <v>92198</v>
      </c>
      <c r="F20" s="478">
        <f>SUM(F7+F17)</f>
        <v>87833</v>
      </c>
      <c r="G20" s="478">
        <f>SUM(G7+G17)</f>
        <v>86010</v>
      </c>
      <c r="H20" s="480">
        <f>H5+H7+H13+H15+H17</f>
        <v>1593018</v>
      </c>
      <c r="I20" s="481">
        <f t="shared" si="1"/>
        <v>2043360</v>
      </c>
    </row>
    <row r="22" ht="17.25" customHeight="1"/>
    <row r="23" spans="1:11" s="536" customFormat="1" ht="75.75" customHeight="1">
      <c r="A23" s="535" t="s">
        <v>14</v>
      </c>
      <c r="B23" s="1160" t="s">
        <v>1467</v>
      </c>
      <c r="C23" s="1160"/>
      <c r="D23" s="1160"/>
      <c r="E23" s="1160"/>
      <c r="F23" s="1160"/>
      <c r="G23" s="1160"/>
      <c r="H23" s="1160"/>
      <c r="I23" s="1160"/>
      <c r="K23" s="537"/>
    </row>
    <row r="24" spans="1:9" s="539" customFormat="1" ht="48" customHeight="1">
      <c r="A24" s="538" t="s">
        <v>19</v>
      </c>
      <c r="B24" s="1160" t="s">
        <v>1242</v>
      </c>
      <c r="C24" s="1160"/>
      <c r="D24" s="1160"/>
      <c r="E24" s="1160"/>
      <c r="F24" s="1160"/>
      <c r="G24" s="1160"/>
      <c r="H24" s="1160"/>
      <c r="I24" s="1160"/>
    </row>
    <row r="25" spans="1:9" s="539" customFormat="1" ht="43.5" customHeight="1">
      <c r="A25" s="538" t="s">
        <v>22</v>
      </c>
      <c r="B25" s="1160" t="s">
        <v>1243</v>
      </c>
      <c r="C25" s="1160"/>
      <c r="D25" s="1160"/>
      <c r="E25" s="1160"/>
      <c r="F25" s="1160"/>
      <c r="G25" s="1160"/>
      <c r="H25" s="1160"/>
      <c r="I25" s="1160"/>
    </row>
    <row r="26" spans="1:9" s="539" customFormat="1" ht="43.5" customHeight="1">
      <c r="A26" s="538" t="s">
        <v>1156</v>
      </c>
      <c r="B26" s="1160" t="s">
        <v>1244</v>
      </c>
      <c r="C26" s="1160"/>
      <c r="D26" s="1160"/>
      <c r="E26" s="1160"/>
      <c r="F26" s="1160"/>
      <c r="G26" s="1160"/>
      <c r="H26" s="1160"/>
      <c r="I26" s="1160"/>
    </row>
    <row r="27" spans="1:9" s="539" customFormat="1" ht="43.5" customHeight="1">
      <c r="A27" s="538" t="s">
        <v>23</v>
      </c>
      <c r="B27" s="1160" t="s">
        <v>1468</v>
      </c>
      <c r="C27" s="1160"/>
      <c r="D27" s="1160"/>
      <c r="E27" s="1160"/>
      <c r="F27" s="1160"/>
      <c r="G27" s="1160"/>
      <c r="H27" s="1160"/>
      <c r="I27" s="1160"/>
    </row>
    <row r="28" spans="1:9" s="539" customFormat="1" ht="46.5" customHeight="1">
      <c r="A28" s="538" t="s">
        <v>24</v>
      </c>
      <c r="B28" s="1160" t="s">
        <v>1245</v>
      </c>
      <c r="C28" s="1160"/>
      <c r="D28" s="1160"/>
      <c r="E28" s="1160"/>
      <c r="F28" s="1160"/>
      <c r="G28" s="1160"/>
      <c r="H28" s="1160"/>
      <c r="I28" s="1160"/>
    </row>
  </sheetData>
  <sheetProtection/>
  <mergeCells count="13">
    <mergeCell ref="B28:I28"/>
    <mergeCell ref="E2:H2"/>
    <mergeCell ref="I2:I3"/>
    <mergeCell ref="A20:B20"/>
    <mergeCell ref="B23:I23"/>
    <mergeCell ref="A2:A3"/>
    <mergeCell ref="B2:B3"/>
    <mergeCell ref="B27:I27"/>
    <mergeCell ref="C2:C3"/>
    <mergeCell ref="D2:D3"/>
    <mergeCell ref="B24:I24"/>
    <mergeCell ref="B25:I25"/>
    <mergeCell ref="B26:I26"/>
  </mergeCells>
  <printOptions horizontalCentered="1"/>
  <pageMargins left="0.7874015748031497" right="0.7874015748031497" top="0.87" bottom="0.7086614173228347" header="0.34" footer="0.35433070866141736"/>
  <pageSetup firstPageNumber="82" useFirstPageNumber="1" horizontalDpi="600" verticalDpi="600" orientation="landscape" paperSize="9" scale="95" r:id="rId1"/>
  <headerFooter alignWithMargins="0">
    <oddHeader>&amp;C&amp;"Times New Roman CE,Félkövér"&amp;12Vecsés Város Önkormányzat többéves kihatással járó döntésekből származó kötelezettségek
célok szerint, évenkénti bontásban&amp;R&amp;"Times New Roman CE,Félkövér dőlt"&amp;11 8. számú melléklet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C782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46.8515625" style="355" customWidth="1"/>
    <col min="2" max="2" width="19.00390625" style="355" customWidth="1"/>
    <col min="3" max="3" width="16.8515625" style="355" customWidth="1"/>
    <col min="4" max="16384" width="9.140625" style="355" customWidth="1"/>
  </cols>
  <sheetData>
    <row r="4" spans="1:3" ht="18">
      <c r="A4" s="1082" t="s">
        <v>772</v>
      </c>
      <c r="B4" s="1083"/>
      <c r="C4" s="1083"/>
    </row>
    <row r="5" ht="15.75">
      <c r="A5" s="742"/>
    </row>
    <row r="6" ht="15.75" thickBot="1">
      <c r="A6" s="743"/>
    </row>
    <row r="7" spans="1:3" ht="14.25">
      <c r="A7" s="744"/>
      <c r="B7" s="745"/>
      <c r="C7" s="746"/>
    </row>
    <row r="8" spans="1:3" ht="15">
      <c r="A8" s="747" t="s">
        <v>724</v>
      </c>
      <c r="B8" s="748"/>
      <c r="C8" s="749"/>
    </row>
    <row r="9" spans="1:3" ht="14.25">
      <c r="A9" s="750" t="s">
        <v>725</v>
      </c>
      <c r="B9" s="748"/>
      <c r="C9" s="749"/>
    </row>
    <row r="10" spans="1:3" ht="14.25" customHeight="1">
      <c r="A10" s="750"/>
      <c r="B10" s="751" t="s">
        <v>726</v>
      </c>
      <c r="C10" s="752" t="s">
        <v>727</v>
      </c>
    </row>
    <row r="11" spans="1:3" ht="14.25" customHeight="1">
      <c r="A11" s="750"/>
      <c r="B11" s="753"/>
      <c r="C11" s="754"/>
    </row>
    <row r="12" spans="1:3" ht="16.5" customHeight="1">
      <c r="A12" s="755" t="s">
        <v>728</v>
      </c>
      <c r="B12" s="756" t="s">
        <v>729</v>
      </c>
      <c r="C12" s="757">
        <v>38.54</v>
      </c>
    </row>
    <row r="13" spans="1:3" ht="16.5" customHeight="1">
      <c r="A13" s="1084" t="s">
        <v>730</v>
      </c>
      <c r="B13" s="758" t="s">
        <v>731</v>
      </c>
      <c r="C13" s="1086" t="s">
        <v>732</v>
      </c>
    </row>
    <row r="14" spans="1:3" ht="16.5" customHeight="1">
      <c r="A14" s="1085"/>
      <c r="B14" s="759" t="s">
        <v>733</v>
      </c>
      <c r="C14" s="1087"/>
    </row>
    <row r="15" spans="1:3" ht="16.5" customHeight="1">
      <c r="A15" s="755" t="s">
        <v>734</v>
      </c>
      <c r="B15" s="756" t="s">
        <v>735</v>
      </c>
      <c r="C15" s="757" t="s">
        <v>736</v>
      </c>
    </row>
    <row r="16" spans="1:3" ht="16.5" customHeight="1">
      <c r="A16" s="755" t="s">
        <v>737</v>
      </c>
      <c r="B16" s="756"/>
      <c r="C16" s="757" t="s">
        <v>738</v>
      </c>
    </row>
    <row r="17" spans="1:3" ht="16.5" customHeight="1">
      <c r="A17" s="755"/>
      <c r="B17" s="756"/>
      <c r="C17" s="757"/>
    </row>
    <row r="18" spans="1:3" ht="16.5" customHeight="1">
      <c r="A18" s="760" t="s">
        <v>739</v>
      </c>
      <c r="B18" s="1088" t="s">
        <v>740</v>
      </c>
      <c r="C18" s="1089"/>
    </row>
    <row r="19" spans="1:3" ht="16.5" customHeight="1">
      <c r="A19" s="755"/>
      <c r="B19" s="756"/>
      <c r="C19" s="757"/>
    </row>
    <row r="20" spans="1:3" ht="16.5" customHeight="1">
      <c r="A20" s="755"/>
      <c r="B20" s="756"/>
      <c r="C20" s="757"/>
    </row>
    <row r="21" spans="1:3" ht="16.5" customHeight="1">
      <c r="A21" s="755"/>
      <c r="B21" s="756"/>
      <c r="C21" s="757"/>
    </row>
    <row r="22" spans="1:3" ht="16.5" customHeight="1">
      <c r="A22" s="747" t="s">
        <v>741</v>
      </c>
      <c r="B22" s="756"/>
      <c r="C22" s="757"/>
    </row>
    <row r="23" spans="1:3" ht="16.5" customHeight="1">
      <c r="A23" s="760" t="s">
        <v>742</v>
      </c>
      <c r="B23" s="756"/>
      <c r="C23" s="757"/>
    </row>
    <row r="24" spans="1:3" ht="16.5" customHeight="1">
      <c r="A24" s="761"/>
      <c r="B24" s="753"/>
      <c r="C24" s="757"/>
    </row>
    <row r="25" spans="1:3" ht="16.5" customHeight="1">
      <c r="A25" s="761" t="s">
        <v>743</v>
      </c>
      <c r="B25" s="756" t="s">
        <v>744</v>
      </c>
      <c r="C25" s="757" t="s">
        <v>745</v>
      </c>
    </row>
    <row r="26" spans="1:3" ht="16.5" customHeight="1">
      <c r="A26" s="761" t="s">
        <v>746</v>
      </c>
      <c r="B26" s="756" t="s">
        <v>747</v>
      </c>
      <c r="C26" s="757" t="s">
        <v>748</v>
      </c>
    </row>
    <row r="27" spans="1:3" ht="16.5" customHeight="1">
      <c r="A27" s="761" t="s">
        <v>749</v>
      </c>
      <c r="B27" s="756" t="s">
        <v>750</v>
      </c>
      <c r="C27" s="757" t="s">
        <v>751</v>
      </c>
    </row>
    <row r="28" spans="1:3" ht="16.5" customHeight="1">
      <c r="A28" s="761" t="s">
        <v>752</v>
      </c>
      <c r="B28" s="756" t="s">
        <v>753</v>
      </c>
      <c r="C28" s="757" t="s">
        <v>754</v>
      </c>
    </row>
    <row r="29" spans="1:3" ht="16.5" customHeight="1">
      <c r="A29" s="761" t="s">
        <v>752</v>
      </c>
      <c r="B29" s="756" t="s">
        <v>755</v>
      </c>
      <c r="C29" s="757" t="s">
        <v>756</v>
      </c>
    </row>
    <row r="30" spans="1:3" ht="16.5" customHeight="1">
      <c r="A30" s="762" t="s">
        <v>757</v>
      </c>
      <c r="B30" s="756"/>
      <c r="C30" s="757"/>
    </row>
    <row r="31" spans="1:3" ht="16.5" customHeight="1">
      <c r="A31" s="762" t="s">
        <v>758</v>
      </c>
      <c r="B31" s="756" t="s">
        <v>759</v>
      </c>
      <c r="C31" s="757" t="s">
        <v>760</v>
      </c>
    </row>
    <row r="32" spans="1:3" ht="16.5" customHeight="1">
      <c r="A32" s="761" t="s">
        <v>761</v>
      </c>
      <c r="B32" s="756" t="s">
        <v>762</v>
      </c>
      <c r="C32" s="757" t="s">
        <v>763</v>
      </c>
    </row>
    <row r="33" spans="1:3" ht="14.25" customHeight="1">
      <c r="A33" s="761" t="s">
        <v>761</v>
      </c>
      <c r="B33" s="756" t="s">
        <v>764</v>
      </c>
      <c r="C33" s="757" t="s">
        <v>765</v>
      </c>
    </row>
    <row r="34" spans="1:3" ht="14.25" customHeight="1">
      <c r="A34" s="761" t="s">
        <v>761</v>
      </c>
      <c r="B34" s="756" t="s">
        <v>766</v>
      </c>
      <c r="C34" s="757" t="s">
        <v>767</v>
      </c>
    </row>
    <row r="35" spans="1:3" ht="14.25" customHeight="1">
      <c r="A35" s="761"/>
      <c r="B35" s="756"/>
      <c r="C35" s="763"/>
    </row>
    <row r="36" spans="1:3" ht="14.25" customHeight="1">
      <c r="A36" s="761" t="s">
        <v>768</v>
      </c>
      <c r="B36" s="756" t="s">
        <v>769</v>
      </c>
      <c r="C36" s="764" t="s">
        <v>770</v>
      </c>
    </row>
    <row r="37" spans="1:3" ht="14.25" customHeight="1">
      <c r="A37" s="761" t="s">
        <v>917</v>
      </c>
      <c r="B37" s="756" t="s">
        <v>918</v>
      </c>
      <c r="C37" s="764">
        <v>2197</v>
      </c>
    </row>
    <row r="38" spans="1:3" ht="14.25" customHeight="1">
      <c r="A38" s="761"/>
      <c r="B38" s="756"/>
      <c r="C38" s="764"/>
    </row>
    <row r="39" spans="1:3" ht="14.25" customHeight="1">
      <c r="A39" s="765" t="s">
        <v>771</v>
      </c>
      <c r="B39" s="1080" t="s">
        <v>919</v>
      </c>
      <c r="C39" s="1081"/>
    </row>
    <row r="40" spans="1:3" ht="14.25" customHeight="1">
      <c r="A40" s="766"/>
      <c r="B40" s="767"/>
      <c r="C40" s="391"/>
    </row>
    <row r="41" spans="1:3" ht="14.25" customHeight="1">
      <c r="A41" s="766"/>
      <c r="B41" s="391"/>
      <c r="C41" s="391"/>
    </row>
    <row r="42" spans="1:3" ht="14.25" customHeight="1">
      <c r="A42" s="766"/>
      <c r="B42" s="391"/>
      <c r="C42" s="391"/>
    </row>
    <row r="43" spans="1:3" ht="14.25" customHeight="1">
      <c r="A43" s="766"/>
      <c r="B43" s="391"/>
      <c r="C43" s="391"/>
    </row>
    <row r="44" spans="1:3" ht="14.25" customHeight="1">
      <c r="A44" s="766"/>
      <c r="B44" s="391"/>
      <c r="C44" s="391"/>
    </row>
    <row r="45" spans="1:3" ht="14.25" customHeight="1">
      <c r="A45" s="766"/>
      <c r="B45" s="391"/>
      <c r="C45" s="391"/>
    </row>
    <row r="46" spans="1:3" ht="14.25" customHeight="1">
      <c r="A46" s="766"/>
      <c r="B46" s="391"/>
      <c r="C46" s="391"/>
    </row>
    <row r="47" spans="1:3" ht="14.25" customHeight="1">
      <c r="A47" s="766"/>
      <c r="B47" s="391"/>
      <c r="C47" s="391"/>
    </row>
    <row r="48" spans="1:3" ht="12.75">
      <c r="A48" s="766"/>
      <c r="B48" s="391"/>
      <c r="C48" s="391"/>
    </row>
    <row r="49" spans="1:3" ht="12.75">
      <c r="A49" s="766"/>
      <c r="B49" s="391"/>
      <c r="C49" s="391"/>
    </row>
    <row r="50" spans="1:3" ht="12.75">
      <c r="A50" s="766"/>
      <c r="B50" s="391"/>
      <c r="C50" s="391"/>
    </row>
    <row r="51" spans="1:3" ht="12.75">
      <c r="A51" s="766"/>
      <c r="B51" s="391"/>
      <c r="C51" s="391"/>
    </row>
    <row r="52" spans="1:3" ht="12.75">
      <c r="A52" s="766"/>
      <c r="B52" s="391"/>
      <c r="C52" s="391"/>
    </row>
    <row r="53" spans="1:3" ht="12.75">
      <c r="A53" s="766"/>
      <c r="B53" s="391"/>
      <c r="C53" s="391"/>
    </row>
    <row r="54" spans="1:3" ht="12.75">
      <c r="A54" s="766"/>
      <c r="B54" s="391"/>
      <c r="C54" s="391"/>
    </row>
    <row r="55" spans="1:3" ht="12.75">
      <c r="A55" s="766"/>
      <c r="B55" s="391"/>
      <c r="C55" s="391"/>
    </row>
    <row r="56" spans="1:3" ht="12.75">
      <c r="A56" s="766"/>
      <c r="B56" s="391"/>
      <c r="C56" s="391"/>
    </row>
    <row r="57" spans="1:3" ht="12.75">
      <c r="A57" s="766"/>
      <c r="B57" s="391"/>
      <c r="C57" s="391"/>
    </row>
    <row r="58" spans="1:3" ht="12.75">
      <c r="A58" s="766"/>
      <c r="B58" s="391"/>
      <c r="C58" s="391"/>
    </row>
    <row r="59" spans="1:3" ht="12.75">
      <c r="A59" s="766"/>
      <c r="B59" s="391"/>
      <c r="C59" s="391"/>
    </row>
    <row r="60" spans="1:3" ht="12.75">
      <c r="A60" s="766"/>
      <c r="B60" s="391"/>
      <c r="C60" s="391"/>
    </row>
    <row r="61" spans="1:3" ht="12.75">
      <c r="A61" s="766"/>
      <c r="B61" s="391"/>
      <c r="C61" s="391"/>
    </row>
    <row r="62" spans="1:3" ht="12.75">
      <c r="A62" s="766"/>
      <c r="B62" s="391"/>
      <c r="C62" s="391"/>
    </row>
    <row r="63" spans="1:3" ht="12.75">
      <c r="A63" s="766"/>
      <c r="B63" s="391"/>
      <c r="C63" s="391"/>
    </row>
    <row r="64" spans="1:3" ht="12.75">
      <c r="A64" s="766"/>
      <c r="B64" s="391"/>
      <c r="C64" s="391"/>
    </row>
    <row r="65" spans="1:3" ht="12.75">
      <c r="A65" s="766"/>
      <c r="B65" s="391"/>
      <c r="C65" s="391"/>
    </row>
    <row r="66" spans="1:3" ht="12.75">
      <c r="A66" s="766"/>
      <c r="B66" s="391"/>
      <c r="C66" s="391"/>
    </row>
    <row r="67" spans="1:3" ht="12.75">
      <c r="A67" s="766"/>
      <c r="B67" s="391"/>
      <c r="C67" s="391"/>
    </row>
    <row r="68" spans="1:3" ht="12.75">
      <c r="A68" s="766"/>
      <c r="B68" s="391"/>
      <c r="C68" s="391"/>
    </row>
    <row r="69" spans="1:3" ht="12.75">
      <c r="A69" s="766"/>
      <c r="B69" s="391"/>
      <c r="C69" s="391"/>
    </row>
    <row r="70" spans="1:3" ht="12.75">
      <c r="A70" s="766"/>
      <c r="B70" s="391"/>
      <c r="C70" s="391"/>
    </row>
    <row r="71" spans="1:3" ht="12.75">
      <c r="A71" s="391"/>
      <c r="B71" s="391"/>
      <c r="C71" s="391"/>
    </row>
    <row r="72" spans="1:3" ht="12.75">
      <c r="A72" s="391"/>
      <c r="B72" s="391"/>
      <c r="C72" s="391"/>
    </row>
    <row r="73" spans="1:3" ht="12.75">
      <c r="A73" s="391"/>
      <c r="B73" s="391"/>
      <c r="C73" s="391"/>
    </row>
    <row r="74" spans="1:3" ht="12.75">
      <c r="A74" s="391"/>
      <c r="B74" s="391"/>
      <c r="C74" s="391"/>
    </row>
    <row r="75" spans="1:3" ht="12.75">
      <c r="A75" s="391"/>
      <c r="B75" s="391"/>
      <c r="C75" s="391"/>
    </row>
    <row r="76" spans="1:3" ht="12.75">
      <c r="A76" s="391"/>
      <c r="B76" s="391"/>
      <c r="C76" s="391"/>
    </row>
    <row r="77" spans="1:3" ht="12.75">
      <c r="A77" s="391"/>
      <c r="B77" s="391"/>
      <c r="C77" s="391"/>
    </row>
    <row r="78" spans="1:3" ht="12.75">
      <c r="A78" s="391"/>
      <c r="B78" s="391"/>
      <c r="C78" s="391"/>
    </row>
    <row r="79" spans="1:3" ht="12.75">
      <c r="A79" s="391"/>
      <c r="B79" s="391"/>
      <c r="C79" s="391"/>
    </row>
    <row r="80" spans="1:3" ht="12.75">
      <c r="A80" s="391"/>
      <c r="B80" s="391"/>
      <c r="C80" s="391"/>
    </row>
    <row r="81" spans="1:3" ht="12.75">
      <c r="A81" s="391"/>
      <c r="B81" s="391"/>
      <c r="C81" s="391"/>
    </row>
    <row r="82" spans="1:3" ht="12.75">
      <c r="A82" s="391"/>
      <c r="B82" s="391"/>
      <c r="C82" s="391"/>
    </row>
    <row r="83" spans="1:3" ht="12.75">
      <c r="A83" s="391"/>
      <c r="B83" s="391"/>
      <c r="C83" s="391"/>
    </row>
    <row r="84" spans="1:3" ht="12.75">
      <c r="A84" s="391"/>
      <c r="B84" s="391"/>
      <c r="C84" s="391"/>
    </row>
    <row r="85" spans="1:3" ht="12.75">
      <c r="A85" s="391"/>
      <c r="B85" s="391"/>
      <c r="C85" s="391"/>
    </row>
    <row r="86" spans="1:3" ht="12.75">
      <c r="A86" s="391"/>
      <c r="B86" s="391"/>
      <c r="C86" s="391"/>
    </row>
    <row r="87" spans="1:3" ht="12.75">
      <c r="A87" s="391"/>
      <c r="B87" s="391"/>
      <c r="C87" s="391"/>
    </row>
    <row r="88" spans="1:3" ht="12.75">
      <c r="A88" s="391"/>
      <c r="B88" s="391"/>
      <c r="C88" s="391"/>
    </row>
    <row r="89" spans="1:3" ht="12.75">
      <c r="A89" s="391"/>
      <c r="B89" s="391"/>
      <c r="C89" s="391"/>
    </row>
    <row r="90" spans="1:3" ht="12.75">
      <c r="A90" s="391"/>
      <c r="B90" s="391"/>
      <c r="C90" s="391"/>
    </row>
    <row r="91" spans="1:3" ht="12.75">
      <c r="A91" s="391"/>
      <c r="B91" s="391"/>
      <c r="C91" s="391"/>
    </row>
    <row r="92" spans="1:3" ht="12.75">
      <c r="A92" s="391"/>
      <c r="B92" s="391"/>
      <c r="C92" s="391"/>
    </row>
    <row r="93" spans="1:3" ht="12.75">
      <c r="A93" s="391"/>
      <c r="B93" s="391"/>
      <c r="C93" s="391"/>
    </row>
    <row r="94" spans="1:3" ht="12.75">
      <c r="A94" s="391"/>
      <c r="B94" s="391"/>
      <c r="C94" s="391"/>
    </row>
    <row r="95" spans="1:3" ht="12.75">
      <c r="A95" s="391"/>
      <c r="B95" s="391"/>
      <c r="C95" s="391"/>
    </row>
    <row r="96" spans="1:3" ht="12.75">
      <c r="A96" s="391"/>
      <c r="B96" s="391"/>
      <c r="C96" s="391"/>
    </row>
    <row r="97" spans="1:3" ht="12.75">
      <c r="A97" s="391"/>
      <c r="B97" s="391"/>
      <c r="C97" s="391"/>
    </row>
    <row r="98" spans="1:3" ht="12.75">
      <c r="A98" s="391"/>
      <c r="B98" s="391"/>
      <c r="C98" s="391"/>
    </row>
    <row r="99" spans="1:3" ht="12.75">
      <c r="A99" s="391"/>
      <c r="B99" s="391"/>
      <c r="C99" s="391"/>
    </row>
    <row r="100" spans="1:3" ht="12.75">
      <c r="A100" s="391"/>
      <c r="B100" s="391"/>
      <c r="C100" s="391"/>
    </row>
    <row r="101" spans="1:3" ht="12.75">
      <c r="A101" s="391"/>
      <c r="B101" s="391"/>
      <c r="C101" s="391"/>
    </row>
    <row r="102" spans="1:3" ht="12.75">
      <c r="A102" s="391"/>
      <c r="B102" s="391"/>
      <c r="C102" s="391"/>
    </row>
    <row r="103" spans="1:3" ht="12.75">
      <c r="A103" s="391"/>
      <c r="B103" s="391"/>
      <c r="C103" s="391"/>
    </row>
    <row r="104" spans="1:3" ht="12.75">
      <c r="A104" s="391"/>
      <c r="B104" s="391"/>
      <c r="C104" s="391"/>
    </row>
    <row r="105" spans="1:3" ht="12.75">
      <c r="A105" s="391"/>
      <c r="B105" s="391"/>
      <c r="C105" s="391"/>
    </row>
    <row r="106" spans="1:3" ht="12.75">
      <c r="A106" s="391"/>
      <c r="B106" s="391"/>
      <c r="C106" s="391"/>
    </row>
    <row r="107" spans="1:3" ht="12.75">
      <c r="A107" s="391"/>
      <c r="B107" s="391"/>
      <c r="C107" s="391"/>
    </row>
    <row r="108" spans="1:3" ht="12.75">
      <c r="A108" s="391"/>
      <c r="B108" s="391"/>
      <c r="C108" s="391"/>
    </row>
    <row r="109" spans="1:2" ht="12.75">
      <c r="A109" s="391"/>
      <c r="B109" s="768"/>
    </row>
    <row r="110" spans="1:2" ht="12.75">
      <c r="A110" s="391"/>
      <c r="B110" s="768"/>
    </row>
    <row r="111" spans="1:2" ht="12.75">
      <c r="A111" s="391"/>
      <c r="B111" s="768"/>
    </row>
    <row r="112" spans="1:2" ht="12.75">
      <c r="A112" s="391"/>
      <c r="B112" s="768"/>
    </row>
    <row r="113" spans="1:2" ht="12.75">
      <c r="A113" s="391"/>
      <c r="B113" s="768"/>
    </row>
    <row r="114" spans="1:2" ht="12.75">
      <c r="A114" s="391"/>
      <c r="B114" s="768"/>
    </row>
    <row r="115" spans="1:2" ht="12.75">
      <c r="A115" s="391"/>
      <c r="B115" s="768"/>
    </row>
    <row r="116" spans="1:2" ht="12.75">
      <c r="A116" s="391"/>
      <c r="B116" s="768"/>
    </row>
    <row r="117" spans="1:2" ht="12.75">
      <c r="A117" s="391"/>
      <c r="B117" s="768"/>
    </row>
    <row r="118" spans="1:2" ht="12.75">
      <c r="A118" s="391"/>
      <c r="B118" s="768"/>
    </row>
    <row r="119" spans="1:2" ht="12.75">
      <c r="A119" s="391"/>
      <c r="B119" s="768"/>
    </row>
    <row r="120" spans="1:2" ht="12.75">
      <c r="A120" s="391"/>
      <c r="B120" s="768"/>
    </row>
    <row r="121" spans="1:2" ht="12.75">
      <c r="A121" s="391"/>
      <c r="B121" s="768"/>
    </row>
    <row r="122" spans="1:2" ht="12.75">
      <c r="A122" s="391"/>
      <c r="B122" s="768"/>
    </row>
    <row r="123" spans="1:2" ht="12.75">
      <c r="A123" s="391"/>
      <c r="B123" s="768"/>
    </row>
    <row r="124" spans="1:2" ht="12.75">
      <c r="A124" s="391"/>
      <c r="B124" s="768"/>
    </row>
    <row r="125" spans="1:2" ht="12.75">
      <c r="A125" s="391"/>
      <c r="B125" s="768"/>
    </row>
    <row r="126" spans="1:2" ht="12.75">
      <c r="A126" s="391"/>
      <c r="B126" s="768"/>
    </row>
    <row r="127" spans="1:2" ht="12.75">
      <c r="A127" s="391"/>
      <c r="B127" s="768"/>
    </row>
    <row r="128" spans="1:2" ht="12.75">
      <c r="A128" s="391"/>
      <c r="B128" s="768"/>
    </row>
    <row r="129" spans="1:2" ht="12.75">
      <c r="A129" s="391"/>
      <c r="B129" s="768"/>
    </row>
    <row r="130" spans="1:2" ht="12.75">
      <c r="A130" s="391"/>
      <c r="B130" s="768"/>
    </row>
    <row r="131" spans="1:2" ht="12.75">
      <c r="A131" s="391"/>
      <c r="B131" s="768"/>
    </row>
    <row r="132" spans="1:2" ht="12.75">
      <c r="A132" s="391"/>
      <c r="B132" s="768"/>
    </row>
    <row r="133" spans="1:2" ht="12.75">
      <c r="A133" s="391"/>
      <c r="B133" s="768"/>
    </row>
    <row r="134" spans="1:2" ht="12.75">
      <c r="A134" s="391"/>
      <c r="B134" s="768"/>
    </row>
    <row r="135" spans="1:2" ht="12.75">
      <c r="A135" s="391"/>
      <c r="B135" s="768"/>
    </row>
    <row r="136" spans="1:2" ht="12.75">
      <c r="A136" s="391"/>
      <c r="B136" s="768"/>
    </row>
    <row r="137" spans="1:2" ht="12.75">
      <c r="A137" s="391"/>
      <c r="B137" s="768"/>
    </row>
    <row r="138" spans="1:2" ht="12.75">
      <c r="A138" s="391"/>
      <c r="B138" s="768"/>
    </row>
    <row r="139" spans="1:2" ht="12.75">
      <c r="A139" s="391"/>
      <c r="B139" s="768"/>
    </row>
    <row r="140" spans="1:2" ht="12.75">
      <c r="A140" s="391"/>
      <c r="B140" s="768"/>
    </row>
    <row r="141" spans="1:2" ht="12.75">
      <c r="A141" s="391"/>
      <c r="B141" s="768"/>
    </row>
    <row r="142" spans="1:2" ht="12.75">
      <c r="A142" s="391"/>
      <c r="B142" s="768"/>
    </row>
    <row r="143" spans="1:2" ht="12.75">
      <c r="A143" s="391"/>
      <c r="B143" s="768"/>
    </row>
    <row r="144" spans="1:2" ht="12.75">
      <c r="A144" s="391"/>
      <c r="B144" s="768"/>
    </row>
    <row r="145" spans="1:2" ht="12.75">
      <c r="A145" s="391"/>
      <c r="B145" s="768"/>
    </row>
    <row r="146" spans="1:2" ht="12.75">
      <c r="A146" s="391"/>
      <c r="B146" s="768"/>
    </row>
    <row r="147" spans="1:2" ht="12.75">
      <c r="A147" s="391"/>
      <c r="B147" s="768"/>
    </row>
    <row r="148" spans="1:2" ht="12.75">
      <c r="A148" s="391"/>
      <c r="B148" s="768"/>
    </row>
    <row r="149" spans="1:2" ht="12.75">
      <c r="A149" s="391"/>
      <c r="B149" s="768"/>
    </row>
    <row r="150" spans="1:2" ht="12.75">
      <c r="A150" s="391"/>
      <c r="B150" s="768"/>
    </row>
    <row r="151" spans="1:2" ht="12.75">
      <c r="A151" s="391"/>
      <c r="B151" s="768"/>
    </row>
    <row r="152" spans="1:2" ht="12.75">
      <c r="A152" s="391"/>
      <c r="B152" s="768"/>
    </row>
    <row r="153" spans="1:2" ht="12.75">
      <c r="A153" s="391"/>
      <c r="B153" s="768"/>
    </row>
    <row r="154" spans="1:2" ht="12.75">
      <c r="A154" s="391"/>
      <c r="B154" s="768"/>
    </row>
    <row r="155" spans="1:2" ht="12.75">
      <c r="A155" s="391"/>
      <c r="B155" s="768"/>
    </row>
    <row r="156" spans="1:2" ht="12.75">
      <c r="A156" s="391"/>
      <c r="B156" s="768"/>
    </row>
    <row r="157" spans="1:2" ht="12.75">
      <c r="A157" s="391"/>
      <c r="B157" s="768"/>
    </row>
    <row r="158" spans="1:2" ht="12.75">
      <c r="A158" s="391"/>
      <c r="B158" s="768"/>
    </row>
    <row r="159" spans="1:2" ht="12.75">
      <c r="A159" s="391"/>
      <c r="B159" s="768"/>
    </row>
    <row r="160" spans="1:2" ht="12.75">
      <c r="A160" s="391"/>
      <c r="B160" s="768"/>
    </row>
    <row r="161" spans="1:2" ht="12.75">
      <c r="A161" s="391"/>
      <c r="B161" s="768"/>
    </row>
    <row r="162" spans="1:2" ht="12.75">
      <c r="A162" s="391"/>
      <c r="B162" s="768"/>
    </row>
    <row r="163" spans="1:2" ht="12.75">
      <c r="A163" s="391"/>
      <c r="B163" s="768"/>
    </row>
    <row r="164" spans="1:2" ht="12.75">
      <c r="A164" s="391"/>
      <c r="B164" s="768"/>
    </row>
    <row r="165" spans="1:2" ht="12.75">
      <c r="A165" s="391"/>
      <c r="B165" s="768"/>
    </row>
    <row r="166" spans="1:2" ht="12.75">
      <c r="A166" s="391"/>
      <c r="B166" s="768"/>
    </row>
    <row r="167" spans="1:2" ht="12.75">
      <c r="A167" s="391"/>
      <c r="B167" s="768"/>
    </row>
    <row r="168" spans="1:2" ht="12.75">
      <c r="A168" s="391"/>
      <c r="B168" s="768"/>
    </row>
    <row r="169" spans="1:2" ht="12.75">
      <c r="A169" s="391"/>
      <c r="B169" s="768"/>
    </row>
    <row r="170" spans="1:2" ht="12.75">
      <c r="A170" s="391"/>
      <c r="B170" s="768"/>
    </row>
    <row r="171" spans="1:2" ht="12.75">
      <c r="A171" s="391"/>
      <c r="B171" s="768"/>
    </row>
    <row r="172" spans="1:2" ht="12.75">
      <c r="A172" s="391"/>
      <c r="B172" s="768"/>
    </row>
    <row r="173" spans="1:2" ht="12.75">
      <c r="A173" s="391"/>
      <c r="B173" s="768"/>
    </row>
    <row r="174" spans="1:2" ht="12.75">
      <c r="A174" s="391"/>
      <c r="B174" s="768"/>
    </row>
    <row r="175" spans="1:2" ht="12.75">
      <c r="A175" s="391"/>
      <c r="B175" s="768"/>
    </row>
    <row r="176" spans="1:2" ht="12.75">
      <c r="A176" s="391"/>
      <c r="B176" s="768"/>
    </row>
    <row r="177" spans="1:2" ht="12.75">
      <c r="A177" s="391"/>
      <c r="B177" s="768"/>
    </row>
    <row r="178" spans="1:2" ht="12.75">
      <c r="A178" s="391"/>
      <c r="B178" s="768"/>
    </row>
    <row r="179" spans="1:2" ht="12.75">
      <c r="A179" s="391"/>
      <c r="B179" s="768"/>
    </row>
    <row r="180" spans="1:2" ht="12.75">
      <c r="A180" s="391"/>
      <c r="B180" s="768"/>
    </row>
    <row r="181" spans="1:2" ht="12.75">
      <c r="A181" s="391"/>
      <c r="B181" s="768"/>
    </row>
    <row r="182" spans="1:2" ht="12.75">
      <c r="A182" s="391"/>
      <c r="B182" s="768"/>
    </row>
    <row r="183" spans="1:2" ht="12.75">
      <c r="A183" s="391"/>
      <c r="B183" s="768"/>
    </row>
    <row r="184" spans="1:2" ht="12.75">
      <c r="A184" s="391"/>
      <c r="B184" s="768"/>
    </row>
    <row r="185" spans="1:2" ht="12.75">
      <c r="A185" s="391"/>
      <c r="B185" s="768"/>
    </row>
    <row r="186" spans="1:2" ht="12.75">
      <c r="A186" s="391"/>
      <c r="B186" s="768"/>
    </row>
    <row r="187" spans="1:2" ht="12.75">
      <c r="A187" s="391"/>
      <c r="B187" s="768"/>
    </row>
    <row r="188" spans="1:2" ht="12.75">
      <c r="A188" s="391"/>
      <c r="B188" s="768"/>
    </row>
    <row r="189" spans="1:2" ht="12.75">
      <c r="A189" s="391"/>
      <c r="B189" s="768"/>
    </row>
    <row r="190" spans="1:2" ht="12.75">
      <c r="A190" s="391"/>
      <c r="B190" s="768"/>
    </row>
    <row r="191" spans="1:2" ht="12.75">
      <c r="A191" s="391"/>
      <c r="B191" s="768"/>
    </row>
    <row r="192" spans="1:2" ht="12.75">
      <c r="A192" s="391"/>
      <c r="B192" s="768"/>
    </row>
    <row r="193" spans="1:2" ht="12.75">
      <c r="A193" s="391"/>
      <c r="B193" s="768"/>
    </row>
    <row r="194" spans="1:2" ht="12.75">
      <c r="A194" s="391"/>
      <c r="B194" s="768"/>
    </row>
    <row r="195" spans="1:2" ht="12.75">
      <c r="A195" s="391"/>
      <c r="B195" s="768"/>
    </row>
    <row r="196" spans="1:2" ht="12.75">
      <c r="A196" s="391"/>
      <c r="B196" s="768"/>
    </row>
    <row r="197" spans="1:2" ht="12.75">
      <c r="A197" s="391"/>
      <c r="B197" s="768"/>
    </row>
    <row r="198" spans="1:2" ht="12.75">
      <c r="A198" s="391"/>
      <c r="B198" s="768"/>
    </row>
    <row r="199" spans="1:2" ht="12.75">
      <c r="A199" s="391"/>
      <c r="B199" s="768"/>
    </row>
    <row r="200" spans="1:2" ht="12.75">
      <c r="A200" s="391"/>
      <c r="B200" s="768"/>
    </row>
    <row r="201" spans="1:2" ht="12.75">
      <c r="A201" s="391"/>
      <c r="B201" s="768"/>
    </row>
    <row r="202" spans="1:2" ht="12.75">
      <c r="A202" s="391"/>
      <c r="B202" s="768"/>
    </row>
    <row r="203" spans="1:2" ht="12.75">
      <c r="A203" s="391"/>
      <c r="B203" s="768"/>
    </row>
    <row r="204" spans="1:2" ht="12.75">
      <c r="A204" s="391"/>
      <c r="B204" s="768"/>
    </row>
    <row r="205" spans="1:2" ht="12.75">
      <c r="A205" s="391"/>
      <c r="B205" s="768"/>
    </row>
    <row r="206" spans="1:2" ht="12.75">
      <c r="A206" s="391"/>
      <c r="B206" s="768"/>
    </row>
    <row r="207" spans="1:2" ht="12.75">
      <c r="A207" s="391"/>
      <c r="B207" s="768"/>
    </row>
    <row r="208" spans="1:2" ht="12.75">
      <c r="A208" s="391"/>
      <c r="B208" s="768"/>
    </row>
    <row r="209" spans="1:2" ht="12.75">
      <c r="A209" s="391"/>
      <c r="B209" s="768"/>
    </row>
    <row r="210" spans="1:2" ht="12.75">
      <c r="A210" s="391"/>
      <c r="B210" s="768"/>
    </row>
    <row r="211" spans="1:2" ht="12.75">
      <c r="A211" s="391"/>
      <c r="B211" s="768"/>
    </row>
    <row r="212" spans="1:2" ht="12.75">
      <c r="A212" s="391"/>
      <c r="B212" s="768"/>
    </row>
    <row r="213" spans="1:2" ht="12.75">
      <c r="A213" s="391"/>
      <c r="B213" s="768"/>
    </row>
    <row r="214" spans="1:2" ht="12.75">
      <c r="A214" s="391"/>
      <c r="B214" s="768"/>
    </row>
    <row r="215" spans="1:2" ht="12.75">
      <c r="A215" s="391"/>
      <c r="B215" s="768"/>
    </row>
    <row r="216" spans="1:2" ht="12.75">
      <c r="A216" s="391"/>
      <c r="B216" s="768"/>
    </row>
    <row r="217" spans="1:2" ht="12.75">
      <c r="A217" s="391"/>
      <c r="B217" s="768"/>
    </row>
    <row r="218" spans="1:2" ht="12.75">
      <c r="A218" s="391"/>
      <c r="B218" s="768"/>
    </row>
    <row r="219" spans="1:2" ht="12.75">
      <c r="A219" s="391"/>
      <c r="B219" s="768"/>
    </row>
    <row r="220" spans="1:2" ht="12.75">
      <c r="A220" s="391"/>
      <c r="B220" s="768"/>
    </row>
    <row r="221" spans="1:2" ht="12.75">
      <c r="A221" s="391"/>
      <c r="B221" s="768"/>
    </row>
    <row r="222" spans="1:2" ht="12.75">
      <c r="A222" s="391"/>
      <c r="B222" s="768"/>
    </row>
    <row r="223" spans="1:2" ht="12.75">
      <c r="A223" s="391"/>
      <c r="B223" s="768"/>
    </row>
    <row r="224" spans="1:2" ht="12.75">
      <c r="A224" s="391"/>
      <c r="B224" s="768"/>
    </row>
    <row r="225" spans="1:2" ht="12.75">
      <c r="A225" s="391"/>
      <c r="B225" s="768"/>
    </row>
    <row r="226" spans="1:2" ht="12.75">
      <c r="A226" s="391"/>
      <c r="B226" s="768"/>
    </row>
    <row r="227" spans="1:2" ht="12.75">
      <c r="A227" s="391"/>
      <c r="B227" s="768"/>
    </row>
    <row r="228" spans="1:2" ht="12.75">
      <c r="A228" s="391"/>
      <c r="B228" s="768"/>
    </row>
    <row r="229" spans="1:2" ht="12.75">
      <c r="A229" s="391"/>
      <c r="B229" s="768"/>
    </row>
    <row r="230" spans="1:2" ht="12.75">
      <c r="A230" s="391"/>
      <c r="B230" s="768"/>
    </row>
    <row r="231" spans="1:2" ht="12.75">
      <c r="A231" s="391"/>
      <c r="B231" s="768"/>
    </row>
    <row r="232" spans="1:2" ht="12.75">
      <c r="A232" s="391"/>
      <c r="B232" s="768"/>
    </row>
    <row r="233" spans="1:2" ht="12.75">
      <c r="A233" s="391"/>
      <c r="B233" s="768"/>
    </row>
    <row r="234" spans="1:2" ht="12.75">
      <c r="A234" s="391"/>
      <c r="B234" s="768"/>
    </row>
    <row r="235" spans="1:2" ht="12.75">
      <c r="A235" s="391"/>
      <c r="B235" s="768"/>
    </row>
    <row r="236" spans="1:2" ht="12.75">
      <c r="A236" s="391"/>
      <c r="B236" s="768"/>
    </row>
    <row r="237" spans="1:2" ht="12.75">
      <c r="A237" s="391"/>
      <c r="B237" s="768"/>
    </row>
    <row r="238" spans="1:2" ht="12.75">
      <c r="A238" s="391"/>
      <c r="B238" s="768"/>
    </row>
    <row r="239" spans="1:2" ht="12.75">
      <c r="A239" s="391"/>
      <c r="B239" s="768"/>
    </row>
    <row r="240" spans="1:2" ht="12.75">
      <c r="A240" s="391"/>
      <c r="B240" s="768"/>
    </row>
    <row r="241" spans="1:2" ht="12.75">
      <c r="A241" s="391"/>
      <c r="B241" s="768"/>
    </row>
    <row r="242" spans="1:2" ht="12.75">
      <c r="A242" s="391"/>
      <c r="B242" s="768"/>
    </row>
    <row r="243" spans="1:2" ht="12.75">
      <c r="A243" s="391"/>
      <c r="B243" s="768"/>
    </row>
    <row r="244" spans="1:2" ht="12.75">
      <c r="A244" s="391"/>
      <c r="B244" s="768"/>
    </row>
    <row r="245" spans="1:2" ht="12.75">
      <c r="A245" s="391"/>
      <c r="B245" s="768"/>
    </row>
    <row r="246" spans="1:2" ht="12.75">
      <c r="A246" s="391"/>
      <c r="B246" s="768"/>
    </row>
    <row r="247" spans="1:2" ht="12.75">
      <c r="A247" s="391"/>
      <c r="B247" s="768"/>
    </row>
    <row r="248" spans="1:2" ht="12.75">
      <c r="A248" s="391"/>
      <c r="B248" s="768"/>
    </row>
    <row r="249" spans="1:2" ht="12.75">
      <c r="A249" s="391"/>
      <c r="B249" s="768"/>
    </row>
    <row r="250" spans="1:2" ht="12.75">
      <c r="A250" s="391"/>
      <c r="B250" s="768"/>
    </row>
    <row r="251" spans="1:2" ht="12.75">
      <c r="A251" s="391"/>
      <c r="B251" s="768"/>
    </row>
    <row r="252" spans="1:2" ht="12.75">
      <c r="A252" s="391"/>
      <c r="B252" s="768"/>
    </row>
    <row r="253" spans="1:2" ht="12.75">
      <c r="A253" s="391"/>
      <c r="B253" s="768"/>
    </row>
    <row r="254" spans="1:2" ht="12.75">
      <c r="A254" s="391"/>
      <c r="B254" s="768"/>
    </row>
    <row r="255" spans="1:2" ht="12.75">
      <c r="A255" s="391"/>
      <c r="B255" s="768"/>
    </row>
    <row r="256" spans="1:2" ht="12.75">
      <c r="A256" s="391"/>
      <c r="B256" s="768"/>
    </row>
    <row r="257" spans="1:2" ht="12.75">
      <c r="A257" s="391"/>
      <c r="B257" s="768"/>
    </row>
    <row r="258" spans="1:2" ht="12.75">
      <c r="A258" s="391"/>
      <c r="B258" s="768"/>
    </row>
    <row r="259" spans="1:2" ht="12.75">
      <c r="A259" s="391"/>
      <c r="B259" s="768"/>
    </row>
    <row r="260" spans="1:2" ht="12.75">
      <c r="A260" s="391"/>
      <c r="B260" s="768"/>
    </row>
    <row r="261" spans="1:2" ht="12.75">
      <c r="A261" s="391"/>
      <c r="B261" s="768"/>
    </row>
    <row r="262" spans="1:2" ht="12.75">
      <c r="A262" s="391"/>
      <c r="B262" s="768"/>
    </row>
    <row r="263" spans="1:2" ht="12.75">
      <c r="A263" s="391"/>
      <c r="B263" s="768"/>
    </row>
    <row r="264" spans="1:2" ht="12.75">
      <c r="A264" s="391"/>
      <c r="B264" s="768"/>
    </row>
    <row r="265" spans="1:2" ht="12.75">
      <c r="A265" s="391"/>
      <c r="B265" s="768"/>
    </row>
    <row r="266" spans="1:2" ht="12.75">
      <c r="A266" s="391"/>
      <c r="B266" s="768"/>
    </row>
    <row r="267" spans="1:2" ht="12.75">
      <c r="A267" s="391"/>
      <c r="B267" s="768"/>
    </row>
    <row r="268" spans="1:2" ht="12.75">
      <c r="A268" s="391"/>
      <c r="B268" s="768"/>
    </row>
    <row r="269" spans="1:2" ht="12.75">
      <c r="A269" s="391"/>
      <c r="B269" s="768"/>
    </row>
    <row r="270" spans="1:2" ht="12.75">
      <c r="A270" s="391"/>
      <c r="B270" s="768"/>
    </row>
    <row r="271" spans="1:2" ht="12.75">
      <c r="A271" s="391"/>
      <c r="B271" s="768"/>
    </row>
    <row r="272" spans="1:2" ht="12.75">
      <c r="A272" s="391"/>
      <c r="B272" s="768"/>
    </row>
    <row r="273" spans="1:2" ht="12.75">
      <c r="A273" s="391"/>
      <c r="B273" s="768"/>
    </row>
    <row r="274" spans="1:2" ht="12.75">
      <c r="A274" s="391"/>
      <c r="B274" s="768"/>
    </row>
    <row r="275" spans="1:2" ht="12.75">
      <c r="A275" s="391"/>
      <c r="B275" s="768"/>
    </row>
    <row r="276" spans="1:2" ht="12.75">
      <c r="A276" s="391"/>
      <c r="B276" s="768"/>
    </row>
    <row r="277" spans="1:2" ht="12.75">
      <c r="A277" s="391"/>
      <c r="B277" s="768"/>
    </row>
    <row r="278" spans="1:2" ht="12.75">
      <c r="A278" s="391"/>
      <c r="B278" s="768"/>
    </row>
    <row r="279" spans="1:2" ht="12.75">
      <c r="A279" s="391"/>
      <c r="B279" s="768"/>
    </row>
    <row r="280" spans="1:2" ht="12.75">
      <c r="A280" s="391"/>
      <c r="B280" s="768"/>
    </row>
    <row r="281" spans="1:2" ht="12.75">
      <c r="A281" s="391"/>
      <c r="B281" s="768"/>
    </row>
    <row r="282" spans="1:2" ht="12.75">
      <c r="A282" s="391"/>
      <c r="B282" s="768"/>
    </row>
    <row r="283" spans="1:2" ht="12.75">
      <c r="A283" s="391"/>
      <c r="B283" s="768"/>
    </row>
    <row r="284" spans="1:2" ht="12.75">
      <c r="A284" s="391"/>
      <c r="B284" s="768"/>
    </row>
    <row r="285" spans="1:2" ht="12.75">
      <c r="A285" s="391"/>
      <c r="B285" s="768"/>
    </row>
    <row r="286" spans="1:2" ht="12.75">
      <c r="A286" s="391"/>
      <c r="B286" s="768"/>
    </row>
    <row r="287" spans="1:2" ht="12.75">
      <c r="A287" s="391"/>
      <c r="B287" s="768"/>
    </row>
    <row r="288" spans="1:2" ht="12.75">
      <c r="A288" s="391"/>
      <c r="B288" s="768"/>
    </row>
    <row r="289" spans="1:2" ht="12.75">
      <c r="A289" s="391"/>
      <c r="B289" s="768"/>
    </row>
    <row r="290" spans="1:2" ht="12.75">
      <c r="A290" s="391"/>
      <c r="B290" s="768"/>
    </row>
    <row r="291" spans="1:2" ht="12.75">
      <c r="A291" s="391"/>
      <c r="B291" s="768"/>
    </row>
    <row r="292" spans="1:2" ht="12.75">
      <c r="A292" s="391"/>
      <c r="B292" s="768"/>
    </row>
    <row r="293" spans="1:2" ht="12.75">
      <c r="A293" s="391"/>
      <c r="B293" s="768"/>
    </row>
    <row r="294" spans="1:2" ht="12.75">
      <c r="A294" s="391"/>
      <c r="B294" s="768"/>
    </row>
    <row r="295" spans="1:2" ht="12.75">
      <c r="A295" s="391"/>
      <c r="B295" s="768"/>
    </row>
    <row r="296" spans="1:2" ht="12.75">
      <c r="A296" s="391"/>
      <c r="B296" s="768"/>
    </row>
    <row r="297" spans="1:2" ht="12.75">
      <c r="A297" s="391"/>
      <c r="B297" s="768"/>
    </row>
    <row r="298" spans="1:2" ht="12.75">
      <c r="A298" s="391"/>
      <c r="B298" s="768"/>
    </row>
    <row r="299" spans="1:2" ht="12.75">
      <c r="A299" s="391"/>
      <c r="B299" s="768"/>
    </row>
    <row r="300" spans="1:2" ht="12.75">
      <c r="A300" s="391"/>
      <c r="B300" s="768"/>
    </row>
    <row r="301" spans="1:2" ht="12.75">
      <c r="A301" s="391"/>
      <c r="B301" s="768"/>
    </row>
    <row r="302" spans="1:2" ht="12.75">
      <c r="A302" s="391"/>
      <c r="B302" s="768"/>
    </row>
    <row r="303" spans="1:2" ht="12.75">
      <c r="A303" s="391"/>
      <c r="B303" s="768"/>
    </row>
    <row r="304" spans="1:2" ht="12.75">
      <c r="A304" s="391"/>
      <c r="B304" s="768"/>
    </row>
    <row r="305" spans="1:2" ht="12.75">
      <c r="A305" s="391"/>
      <c r="B305" s="768"/>
    </row>
    <row r="306" spans="1:2" ht="12.75">
      <c r="A306" s="391"/>
      <c r="B306" s="768"/>
    </row>
    <row r="307" spans="1:2" ht="12.75">
      <c r="A307" s="391"/>
      <c r="B307" s="768"/>
    </row>
    <row r="308" spans="1:2" ht="12.75">
      <c r="A308" s="391"/>
      <c r="B308" s="768"/>
    </row>
    <row r="309" spans="1:2" ht="12.75">
      <c r="A309" s="391"/>
      <c r="B309" s="768"/>
    </row>
    <row r="310" spans="1:2" ht="12.75">
      <c r="A310" s="391"/>
      <c r="B310" s="768"/>
    </row>
    <row r="311" spans="1:2" ht="12.75">
      <c r="A311" s="391"/>
      <c r="B311" s="768"/>
    </row>
    <row r="312" spans="1:2" ht="12.75">
      <c r="A312" s="391"/>
      <c r="B312" s="768"/>
    </row>
    <row r="313" spans="1:2" ht="12.75">
      <c r="A313" s="391"/>
      <c r="B313" s="768"/>
    </row>
    <row r="314" spans="1:2" ht="12.75">
      <c r="A314" s="391"/>
      <c r="B314" s="768"/>
    </row>
    <row r="315" spans="1:2" ht="12.75">
      <c r="A315" s="391"/>
      <c r="B315" s="768"/>
    </row>
    <row r="316" spans="1:2" ht="12.75">
      <c r="A316" s="391"/>
      <c r="B316" s="768"/>
    </row>
    <row r="317" spans="1:2" ht="12.75">
      <c r="A317" s="391"/>
      <c r="B317" s="768"/>
    </row>
    <row r="318" spans="1:2" ht="12.75">
      <c r="A318" s="391"/>
      <c r="B318" s="768"/>
    </row>
    <row r="319" spans="1:2" ht="12.75">
      <c r="A319" s="391"/>
      <c r="B319" s="768"/>
    </row>
    <row r="320" spans="1:2" ht="12.75">
      <c r="A320" s="391"/>
      <c r="B320" s="768"/>
    </row>
    <row r="321" spans="1:2" ht="12.75">
      <c r="A321" s="391"/>
      <c r="B321" s="768"/>
    </row>
    <row r="322" spans="1:2" ht="12.75">
      <c r="A322" s="391"/>
      <c r="B322" s="768"/>
    </row>
    <row r="323" spans="1:2" ht="12.75">
      <c r="A323" s="391"/>
      <c r="B323" s="768"/>
    </row>
    <row r="324" spans="1:2" ht="12.75">
      <c r="A324" s="391"/>
      <c r="B324" s="768"/>
    </row>
    <row r="325" spans="1:2" ht="12.75">
      <c r="A325" s="391"/>
      <c r="B325" s="768"/>
    </row>
    <row r="326" spans="1:2" ht="12.75">
      <c r="A326" s="391"/>
      <c r="B326" s="768"/>
    </row>
    <row r="327" spans="1:2" ht="12.75">
      <c r="A327" s="391"/>
      <c r="B327" s="768"/>
    </row>
    <row r="328" spans="1:2" ht="12.75">
      <c r="A328" s="391"/>
      <c r="B328" s="768"/>
    </row>
    <row r="329" spans="1:2" ht="12.75">
      <c r="A329" s="391"/>
      <c r="B329" s="768"/>
    </row>
    <row r="330" spans="1:2" ht="12.75">
      <c r="A330" s="391"/>
      <c r="B330" s="768"/>
    </row>
    <row r="331" spans="1:2" ht="12.75">
      <c r="A331" s="391"/>
      <c r="B331" s="768"/>
    </row>
    <row r="332" spans="1:2" ht="12.75">
      <c r="A332" s="391"/>
      <c r="B332" s="768"/>
    </row>
    <row r="333" spans="1:2" ht="12.75">
      <c r="A333" s="391"/>
      <c r="B333" s="768"/>
    </row>
    <row r="334" spans="1:2" ht="12.75">
      <c r="A334" s="391"/>
      <c r="B334" s="768"/>
    </row>
    <row r="335" spans="1:2" ht="12.75">
      <c r="A335" s="391"/>
      <c r="B335" s="768"/>
    </row>
    <row r="336" spans="1:2" ht="12.75">
      <c r="A336" s="391"/>
      <c r="B336" s="768"/>
    </row>
    <row r="337" spans="1:2" ht="12.75">
      <c r="A337" s="391"/>
      <c r="B337" s="768"/>
    </row>
    <row r="338" spans="1:2" ht="12.75">
      <c r="A338" s="391"/>
      <c r="B338" s="768"/>
    </row>
    <row r="339" spans="1:2" ht="12.75">
      <c r="A339" s="391"/>
      <c r="B339" s="768"/>
    </row>
    <row r="340" spans="1:2" ht="12.75">
      <c r="A340" s="391"/>
      <c r="B340" s="768"/>
    </row>
    <row r="341" spans="1:2" ht="12.75">
      <c r="A341" s="391"/>
      <c r="B341" s="768"/>
    </row>
    <row r="342" spans="1:2" ht="12.75">
      <c r="A342" s="391"/>
      <c r="B342" s="768"/>
    </row>
    <row r="343" spans="1:2" ht="12.75">
      <c r="A343" s="391"/>
      <c r="B343" s="768"/>
    </row>
    <row r="344" spans="1:2" ht="12.75">
      <c r="A344" s="391"/>
      <c r="B344" s="768"/>
    </row>
    <row r="345" spans="1:2" ht="12.75">
      <c r="A345" s="391"/>
      <c r="B345" s="768"/>
    </row>
    <row r="346" spans="1:2" ht="12.75">
      <c r="A346" s="391"/>
      <c r="B346" s="768"/>
    </row>
    <row r="347" spans="1:2" ht="12.75">
      <c r="A347" s="391"/>
      <c r="B347" s="768"/>
    </row>
    <row r="348" spans="1:2" ht="12.75">
      <c r="A348" s="391"/>
      <c r="B348" s="768"/>
    </row>
    <row r="349" spans="1:2" ht="12.75">
      <c r="A349" s="391"/>
      <c r="B349" s="768"/>
    </row>
    <row r="350" spans="1:2" ht="12.75">
      <c r="A350" s="391"/>
      <c r="B350" s="768"/>
    </row>
    <row r="351" spans="1:2" ht="12.75">
      <c r="A351" s="391"/>
      <c r="B351" s="768"/>
    </row>
    <row r="352" spans="1:2" ht="12.75">
      <c r="A352" s="391"/>
      <c r="B352" s="768"/>
    </row>
    <row r="353" spans="1:2" ht="12.75">
      <c r="A353" s="391"/>
      <c r="B353" s="768"/>
    </row>
    <row r="354" spans="1:2" ht="12.75">
      <c r="A354" s="391"/>
      <c r="B354" s="768"/>
    </row>
    <row r="355" spans="1:2" ht="12.75">
      <c r="A355" s="391"/>
      <c r="B355" s="768"/>
    </row>
    <row r="356" spans="1:2" ht="12.75">
      <c r="A356" s="391"/>
      <c r="B356" s="768"/>
    </row>
    <row r="357" spans="1:2" ht="12.75">
      <c r="A357" s="391"/>
      <c r="B357" s="768"/>
    </row>
    <row r="358" spans="1:2" ht="12.75">
      <c r="A358" s="391"/>
      <c r="B358" s="768"/>
    </row>
    <row r="359" spans="1:2" ht="12.75">
      <c r="A359" s="391"/>
      <c r="B359" s="768"/>
    </row>
    <row r="360" spans="1:2" ht="12.75">
      <c r="A360" s="391"/>
      <c r="B360" s="768"/>
    </row>
    <row r="361" spans="1:2" ht="12.75">
      <c r="A361" s="391"/>
      <c r="B361" s="768"/>
    </row>
    <row r="362" spans="1:2" ht="12.75">
      <c r="A362" s="391"/>
      <c r="B362" s="768"/>
    </row>
    <row r="363" spans="1:2" ht="12.75">
      <c r="A363" s="391"/>
      <c r="B363" s="768"/>
    </row>
    <row r="364" spans="1:2" ht="12.75">
      <c r="A364" s="391"/>
      <c r="B364" s="768"/>
    </row>
    <row r="365" spans="1:2" ht="12.75">
      <c r="A365" s="391"/>
      <c r="B365" s="768"/>
    </row>
    <row r="366" spans="1:2" ht="12.75">
      <c r="A366" s="391"/>
      <c r="B366" s="768"/>
    </row>
    <row r="367" spans="1:2" ht="12.75">
      <c r="A367" s="391"/>
      <c r="B367" s="768"/>
    </row>
    <row r="368" spans="1:2" ht="12.75">
      <c r="A368" s="391"/>
      <c r="B368" s="768"/>
    </row>
    <row r="369" spans="1:2" ht="12.75">
      <c r="A369" s="391"/>
      <c r="B369" s="768"/>
    </row>
    <row r="370" spans="1:2" ht="12.75">
      <c r="A370" s="391"/>
      <c r="B370" s="768"/>
    </row>
    <row r="371" spans="1:2" ht="12.75">
      <c r="A371" s="391"/>
      <c r="B371" s="768"/>
    </row>
    <row r="372" spans="1:2" ht="12.75">
      <c r="A372" s="391"/>
      <c r="B372" s="768"/>
    </row>
    <row r="373" spans="1:2" ht="12.75">
      <c r="A373" s="391"/>
      <c r="B373" s="768"/>
    </row>
    <row r="374" spans="1:2" ht="12.75">
      <c r="A374" s="391"/>
      <c r="B374" s="768"/>
    </row>
    <row r="375" spans="1:2" ht="12.75">
      <c r="A375" s="391"/>
      <c r="B375" s="768"/>
    </row>
    <row r="376" spans="1:2" ht="12.75">
      <c r="A376" s="391"/>
      <c r="B376" s="768"/>
    </row>
    <row r="377" spans="1:2" ht="12.75">
      <c r="A377" s="391"/>
      <c r="B377" s="768"/>
    </row>
    <row r="378" spans="1:2" ht="12.75">
      <c r="A378" s="391"/>
      <c r="B378" s="768"/>
    </row>
    <row r="379" spans="1:2" ht="12.75">
      <c r="A379" s="391"/>
      <c r="B379" s="768"/>
    </row>
    <row r="380" spans="1:2" ht="12.75">
      <c r="A380" s="391"/>
      <c r="B380" s="768"/>
    </row>
    <row r="381" spans="1:2" ht="12.75">
      <c r="A381" s="391"/>
      <c r="B381" s="768"/>
    </row>
    <row r="382" spans="1:2" ht="12.75">
      <c r="A382" s="391"/>
      <c r="B382" s="768"/>
    </row>
    <row r="383" spans="1:2" ht="12.75">
      <c r="A383" s="391"/>
      <c r="B383" s="768"/>
    </row>
    <row r="384" spans="1:2" ht="12.75">
      <c r="A384" s="391"/>
      <c r="B384" s="768"/>
    </row>
    <row r="385" spans="1:2" ht="12.75">
      <c r="A385" s="391"/>
      <c r="B385" s="768"/>
    </row>
    <row r="386" spans="1:2" ht="12.75">
      <c r="A386" s="391"/>
      <c r="B386" s="768"/>
    </row>
    <row r="387" spans="1:2" ht="12.75">
      <c r="A387" s="391"/>
      <c r="B387" s="768"/>
    </row>
    <row r="388" spans="1:2" ht="12.75">
      <c r="A388" s="391"/>
      <c r="B388" s="768"/>
    </row>
    <row r="389" spans="1:2" ht="12.75">
      <c r="A389" s="391"/>
      <c r="B389" s="768"/>
    </row>
    <row r="390" spans="1:2" ht="12.75">
      <c r="A390" s="391"/>
      <c r="B390" s="768"/>
    </row>
    <row r="391" ht="12.75">
      <c r="B391" s="768"/>
    </row>
    <row r="392" ht="12.75">
      <c r="B392" s="768"/>
    </row>
    <row r="393" ht="12.75">
      <c r="B393" s="768"/>
    </row>
    <row r="394" ht="12.75">
      <c r="B394" s="768"/>
    </row>
    <row r="395" ht="12.75">
      <c r="B395" s="768"/>
    </row>
    <row r="396" ht="12.75">
      <c r="B396" s="768"/>
    </row>
    <row r="397" ht="12.75">
      <c r="B397" s="768"/>
    </row>
    <row r="398" ht="12.75">
      <c r="B398" s="768"/>
    </row>
    <row r="399" ht="12.75">
      <c r="B399" s="768"/>
    </row>
    <row r="400" ht="12.75">
      <c r="B400" s="768"/>
    </row>
    <row r="401" ht="12.75">
      <c r="B401" s="768"/>
    </row>
    <row r="402" ht="12.75">
      <c r="B402" s="768"/>
    </row>
    <row r="403" ht="12.75">
      <c r="B403" s="768"/>
    </row>
    <row r="404" ht="12.75">
      <c r="B404" s="768"/>
    </row>
    <row r="405" ht="12.75">
      <c r="B405" s="768"/>
    </row>
    <row r="406" ht="12.75">
      <c r="B406" s="768"/>
    </row>
    <row r="407" ht="12.75">
      <c r="B407" s="768"/>
    </row>
    <row r="408" ht="12.75">
      <c r="B408" s="768"/>
    </row>
    <row r="409" ht="12.75">
      <c r="B409" s="768"/>
    </row>
    <row r="410" ht="12.75">
      <c r="B410" s="768"/>
    </row>
    <row r="411" ht="12.75">
      <c r="B411" s="768"/>
    </row>
    <row r="412" ht="12.75">
      <c r="B412" s="768"/>
    </row>
    <row r="413" ht="12.75">
      <c r="B413" s="768"/>
    </row>
    <row r="414" ht="12.75">
      <c r="B414" s="768"/>
    </row>
    <row r="415" ht="12.75">
      <c r="B415" s="768"/>
    </row>
    <row r="416" ht="12.75">
      <c r="B416" s="768"/>
    </row>
    <row r="417" ht="12.75">
      <c r="B417" s="768"/>
    </row>
    <row r="418" ht="12.75">
      <c r="B418" s="768"/>
    </row>
    <row r="419" ht="12.75">
      <c r="B419" s="768"/>
    </row>
    <row r="420" ht="12.75">
      <c r="B420" s="768"/>
    </row>
    <row r="421" ht="12.75">
      <c r="B421" s="768"/>
    </row>
    <row r="422" ht="12.75">
      <c r="B422" s="768"/>
    </row>
    <row r="423" ht="12.75">
      <c r="B423" s="768"/>
    </row>
    <row r="424" ht="12.75">
      <c r="B424" s="768"/>
    </row>
    <row r="425" ht="12.75">
      <c r="B425" s="768"/>
    </row>
    <row r="426" ht="12.75">
      <c r="B426" s="768"/>
    </row>
    <row r="427" ht="12.75">
      <c r="B427" s="768"/>
    </row>
    <row r="428" ht="12.75">
      <c r="B428" s="768"/>
    </row>
    <row r="429" ht="12.75">
      <c r="B429" s="768"/>
    </row>
    <row r="430" ht="12.75">
      <c r="B430" s="768"/>
    </row>
    <row r="431" ht="12.75">
      <c r="B431" s="768"/>
    </row>
    <row r="432" ht="12.75">
      <c r="B432" s="768"/>
    </row>
    <row r="433" ht="12.75">
      <c r="B433" s="768"/>
    </row>
    <row r="434" ht="12.75">
      <c r="B434" s="768"/>
    </row>
    <row r="435" ht="12.75">
      <c r="B435" s="768"/>
    </row>
    <row r="436" ht="12.75">
      <c r="B436" s="768"/>
    </row>
    <row r="437" ht="12.75">
      <c r="B437" s="768"/>
    </row>
    <row r="438" ht="12.75">
      <c r="B438" s="768"/>
    </row>
    <row r="439" ht="12.75">
      <c r="B439" s="768"/>
    </row>
    <row r="440" ht="12.75">
      <c r="B440" s="768"/>
    </row>
    <row r="441" ht="12.75">
      <c r="B441" s="768"/>
    </row>
    <row r="442" ht="12.75">
      <c r="B442" s="768"/>
    </row>
    <row r="443" ht="12.75">
      <c r="B443" s="768"/>
    </row>
    <row r="444" ht="12.75">
      <c r="B444" s="768"/>
    </row>
    <row r="445" ht="12.75">
      <c r="B445" s="768"/>
    </row>
    <row r="446" ht="12.75">
      <c r="B446" s="768"/>
    </row>
    <row r="447" ht="12.75">
      <c r="B447" s="768"/>
    </row>
    <row r="448" ht="12.75">
      <c r="B448" s="768"/>
    </row>
    <row r="449" ht="12.75">
      <c r="B449" s="768"/>
    </row>
    <row r="450" ht="12.75">
      <c r="B450" s="768"/>
    </row>
    <row r="451" ht="12.75">
      <c r="B451" s="768"/>
    </row>
    <row r="452" ht="12.75">
      <c r="B452" s="768"/>
    </row>
    <row r="453" ht="12.75">
      <c r="B453" s="768"/>
    </row>
    <row r="454" ht="12.75">
      <c r="B454" s="768"/>
    </row>
    <row r="455" ht="12.75">
      <c r="B455" s="768"/>
    </row>
    <row r="456" ht="12.75">
      <c r="B456" s="768"/>
    </row>
    <row r="457" ht="12.75">
      <c r="B457" s="768"/>
    </row>
    <row r="458" ht="12.75">
      <c r="B458" s="768"/>
    </row>
    <row r="459" ht="12.75">
      <c r="B459" s="768"/>
    </row>
    <row r="460" ht="12.75">
      <c r="B460" s="768"/>
    </row>
    <row r="461" ht="12.75">
      <c r="B461" s="768"/>
    </row>
    <row r="462" ht="12.75">
      <c r="B462" s="768"/>
    </row>
    <row r="463" ht="12.75">
      <c r="B463" s="768"/>
    </row>
    <row r="464" ht="12.75">
      <c r="B464" s="768"/>
    </row>
    <row r="465" ht="12.75">
      <c r="B465" s="768"/>
    </row>
    <row r="466" ht="12.75">
      <c r="B466" s="768"/>
    </row>
    <row r="467" ht="12.75">
      <c r="B467" s="768"/>
    </row>
    <row r="468" ht="12.75">
      <c r="B468" s="768"/>
    </row>
    <row r="469" ht="12.75">
      <c r="B469" s="768"/>
    </row>
    <row r="470" ht="12.75">
      <c r="B470" s="768"/>
    </row>
    <row r="471" ht="12.75">
      <c r="B471" s="768"/>
    </row>
    <row r="472" ht="12.75">
      <c r="B472" s="768"/>
    </row>
    <row r="473" ht="12.75">
      <c r="B473" s="768"/>
    </row>
    <row r="474" ht="12.75">
      <c r="B474" s="768"/>
    </row>
    <row r="475" ht="12.75">
      <c r="B475" s="768"/>
    </row>
    <row r="476" ht="12.75">
      <c r="B476" s="768"/>
    </row>
    <row r="477" ht="12.75">
      <c r="B477" s="768"/>
    </row>
    <row r="478" ht="12.75">
      <c r="B478" s="768"/>
    </row>
    <row r="479" ht="12.75">
      <c r="B479" s="768"/>
    </row>
    <row r="480" ht="12.75">
      <c r="B480" s="768"/>
    </row>
    <row r="481" ht="12.75">
      <c r="B481" s="768"/>
    </row>
    <row r="482" ht="12.75">
      <c r="B482" s="768"/>
    </row>
    <row r="483" ht="12.75">
      <c r="B483" s="768"/>
    </row>
    <row r="484" ht="12.75">
      <c r="B484" s="768"/>
    </row>
    <row r="485" ht="12.75">
      <c r="B485" s="768"/>
    </row>
    <row r="486" ht="12.75">
      <c r="B486" s="768"/>
    </row>
    <row r="487" ht="12.75">
      <c r="B487" s="768"/>
    </row>
    <row r="488" ht="12.75">
      <c r="B488" s="768"/>
    </row>
    <row r="489" ht="12.75">
      <c r="B489" s="768"/>
    </row>
    <row r="490" ht="12.75">
      <c r="B490" s="768"/>
    </row>
    <row r="491" ht="12.75">
      <c r="B491" s="768"/>
    </row>
    <row r="492" ht="12.75">
      <c r="B492" s="768"/>
    </row>
    <row r="493" ht="12.75">
      <c r="B493" s="768"/>
    </row>
    <row r="494" ht="12.75">
      <c r="B494" s="768"/>
    </row>
    <row r="495" ht="12.75">
      <c r="B495" s="768"/>
    </row>
    <row r="496" ht="12.75">
      <c r="B496" s="768"/>
    </row>
    <row r="497" ht="12.75">
      <c r="B497" s="768"/>
    </row>
    <row r="498" ht="12.75">
      <c r="B498" s="768"/>
    </row>
    <row r="499" ht="12.75">
      <c r="B499" s="768"/>
    </row>
    <row r="500" ht="12.75">
      <c r="B500" s="768"/>
    </row>
    <row r="501" ht="12.75">
      <c r="B501" s="768"/>
    </row>
    <row r="502" ht="12.75">
      <c r="B502" s="768"/>
    </row>
    <row r="503" ht="12.75">
      <c r="B503" s="768"/>
    </row>
    <row r="504" ht="12.75">
      <c r="B504" s="768"/>
    </row>
    <row r="505" ht="12.75">
      <c r="B505" s="768"/>
    </row>
    <row r="506" ht="12.75">
      <c r="B506" s="768"/>
    </row>
    <row r="507" ht="12.75">
      <c r="B507" s="768"/>
    </row>
    <row r="508" ht="12.75">
      <c r="B508" s="768"/>
    </row>
    <row r="509" ht="12.75">
      <c r="B509" s="768"/>
    </row>
    <row r="510" ht="12.75">
      <c r="B510" s="768"/>
    </row>
    <row r="511" ht="12.75">
      <c r="B511" s="768"/>
    </row>
    <row r="512" ht="12.75">
      <c r="B512" s="768"/>
    </row>
    <row r="513" ht="12.75">
      <c r="B513" s="768"/>
    </row>
    <row r="514" ht="12.75">
      <c r="B514" s="768"/>
    </row>
    <row r="515" ht="12.75">
      <c r="B515" s="768"/>
    </row>
    <row r="516" ht="12.75">
      <c r="B516" s="768"/>
    </row>
    <row r="517" ht="12.75">
      <c r="B517" s="768"/>
    </row>
    <row r="518" ht="12.75">
      <c r="B518" s="768"/>
    </row>
    <row r="519" ht="12.75">
      <c r="B519" s="768"/>
    </row>
    <row r="520" ht="12.75">
      <c r="B520" s="768"/>
    </row>
    <row r="521" ht="12.75">
      <c r="B521" s="768"/>
    </row>
    <row r="522" ht="12.75">
      <c r="B522" s="768"/>
    </row>
    <row r="523" ht="12.75">
      <c r="B523" s="768"/>
    </row>
    <row r="524" ht="12.75">
      <c r="B524" s="768"/>
    </row>
    <row r="525" ht="12.75">
      <c r="B525" s="768"/>
    </row>
    <row r="526" ht="12.75">
      <c r="B526" s="768"/>
    </row>
    <row r="527" ht="12.75">
      <c r="B527" s="768"/>
    </row>
    <row r="528" ht="12.75">
      <c r="B528" s="768"/>
    </row>
    <row r="529" ht="12.75">
      <c r="B529" s="768"/>
    </row>
    <row r="530" ht="12.75">
      <c r="B530" s="768"/>
    </row>
    <row r="531" ht="12.75">
      <c r="B531" s="768"/>
    </row>
    <row r="532" ht="12.75">
      <c r="B532" s="768"/>
    </row>
    <row r="533" ht="12.75">
      <c r="B533" s="768"/>
    </row>
    <row r="534" ht="12.75">
      <c r="B534" s="768"/>
    </row>
    <row r="535" ht="12.75">
      <c r="B535" s="768"/>
    </row>
    <row r="536" ht="12.75">
      <c r="B536" s="768"/>
    </row>
    <row r="537" ht="12.75">
      <c r="B537" s="768"/>
    </row>
    <row r="538" ht="12.75">
      <c r="B538" s="768"/>
    </row>
    <row r="539" ht="12.75">
      <c r="B539" s="768"/>
    </row>
    <row r="540" ht="12.75">
      <c r="B540" s="768"/>
    </row>
    <row r="541" ht="12.75">
      <c r="B541" s="768"/>
    </row>
    <row r="542" ht="12.75">
      <c r="B542" s="768"/>
    </row>
    <row r="543" ht="12.75">
      <c r="B543" s="768"/>
    </row>
    <row r="544" ht="12.75">
      <c r="B544" s="768"/>
    </row>
    <row r="545" ht="12.75">
      <c r="B545" s="768"/>
    </row>
    <row r="546" ht="12.75">
      <c r="B546" s="768"/>
    </row>
    <row r="547" ht="12.75">
      <c r="B547" s="768"/>
    </row>
    <row r="548" ht="12.75">
      <c r="B548" s="768"/>
    </row>
    <row r="549" ht="12.75">
      <c r="B549" s="768"/>
    </row>
    <row r="550" ht="12.75">
      <c r="B550" s="768"/>
    </row>
    <row r="551" ht="12.75">
      <c r="B551" s="768"/>
    </row>
    <row r="552" ht="12.75">
      <c r="B552" s="768"/>
    </row>
    <row r="553" ht="12.75">
      <c r="B553" s="768"/>
    </row>
    <row r="554" ht="12.75">
      <c r="B554" s="768"/>
    </row>
    <row r="555" ht="12.75">
      <c r="B555" s="768"/>
    </row>
    <row r="556" ht="12.75">
      <c r="B556" s="768"/>
    </row>
    <row r="557" ht="12.75">
      <c r="B557" s="768"/>
    </row>
    <row r="558" ht="12.75">
      <c r="B558" s="768"/>
    </row>
    <row r="559" ht="12.75">
      <c r="B559" s="768"/>
    </row>
    <row r="560" ht="12.75">
      <c r="B560" s="768"/>
    </row>
    <row r="561" ht="12.75">
      <c r="B561" s="768"/>
    </row>
    <row r="562" ht="12.75">
      <c r="B562" s="768"/>
    </row>
    <row r="563" ht="12.75">
      <c r="B563" s="768"/>
    </row>
    <row r="564" ht="12.75">
      <c r="B564" s="768"/>
    </row>
    <row r="565" ht="12.75">
      <c r="B565" s="768"/>
    </row>
    <row r="566" ht="12.75">
      <c r="B566" s="768"/>
    </row>
    <row r="567" ht="12.75">
      <c r="B567" s="768"/>
    </row>
    <row r="568" ht="12.75">
      <c r="B568" s="768"/>
    </row>
    <row r="569" ht="12.75">
      <c r="B569" s="768"/>
    </row>
    <row r="570" ht="12.75">
      <c r="B570" s="768"/>
    </row>
    <row r="571" ht="12.75">
      <c r="B571" s="768"/>
    </row>
    <row r="572" ht="12.75">
      <c r="B572" s="768"/>
    </row>
    <row r="573" ht="12.75">
      <c r="B573" s="768"/>
    </row>
    <row r="574" ht="12.75">
      <c r="B574" s="768"/>
    </row>
    <row r="575" ht="12.75">
      <c r="B575" s="768"/>
    </row>
    <row r="576" ht="12.75">
      <c r="B576" s="768"/>
    </row>
    <row r="577" ht="12.75">
      <c r="B577" s="768"/>
    </row>
    <row r="578" ht="12.75">
      <c r="B578" s="768"/>
    </row>
    <row r="579" ht="12.75">
      <c r="B579" s="768"/>
    </row>
    <row r="580" ht="12.75">
      <c r="B580" s="768"/>
    </row>
    <row r="581" ht="12.75">
      <c r="B581" s="768"/>
    </row>
    <row r="582" ht="12.75">
      <c r="B582" s="768"/>
    </row>
    <row r="583" ht="12.75">
      <c r="B583" s="768"/>
    </row>
    <row r="584" ht="12.75">
      <c r="B584" s="768"/>
    </row>
    <row r="585" ht="12.75">
      <c r="B585" s="768"/>
    </row>
    <row r="586" ht="12.75">
      <c r="B586" s="768"/>
    </row>
    <row r="587" ht="12.75">
      <c r="B587" s="768"/>
    </row>
    <row r="588" ht="12.75">
      <c r="B588" s="768"/>
    </row>
    <row r="589" ht="12.75">
      <c r="B589" s="768"/>
    </row>
    <row r="590" ht="12.75">
      <c r="B590" s="768"/>
    </row>
    <row r="591" ht="12.75">
      <c r="B591" s="768"/>
    </row>
    <row r="592" ht="12.75">
      <c r="B592" s="768"/>
    </row>
    <row r="593" ht="12.75">
      <c r="B593" s="768"/>
    </row>
    <row r="594" ht="12.75">
      <c r="B594" s="768"/>
    </row>
    <row r="595" ht="12.75">
      <c r="B595" s="768"/>
    </row>
    <row r="596" ht="12.75">
      <c r="B596" s="768"/>
    </row>
    <row r="597" ht="12.75">
      <c r="B597" s="768"/>
    </row>
    <row r="598" ht="12.75">
      <c r="B598" s="768"/>
    </row>
    <row r="599" ht="12.75">
      <c r="B599" s="768"/>
    </row>
    <row r="600" ht="12.75">
      <c r="B600" s="768"/>
    </row>
    <row r="601" ht="12.75">
      <c r="B601" s="768"/>
    </row>
    <row r="602" ht="12.75">
      <c r="B602" s="768"/>
    </row>
    <row r="603" ht="12.75">
      <c r="B603" s="768"/>
    </row>
    <row r="604" ht="12.75">
      <c r="B604" s="768"/>
    </row>
    <row r="605" ht="12.75">
      <c r="B605" s="768"/>
    </row>
    <row r="606" ht="12.75">
      <c r="B606" s="768"/>
    </row>
    <row r="607" ht="12.75">
      <c r="B607" s="768"/>
    </row>
    <row r="608" ht="12.75">
      <c r="B608" s="768"/>
    </row>
    <row r="609" ht="12.75">
      <c r="B609" s="768"/>
    </row>
    <row r="610" ht="12.75">
      <c r="B610" s="768"/>
    </row>
    <row r="611" ht="12.75">
      <c r="B611" s="768"/>
    </row>
    <row r="612" ht="12.75">
      <c r="B612" s="768"/>
    </row>
    <row r="613" ht="12.75">
      <c r="B613" s="768"/>
    </row>
    <row r="614" ht="12.75">
      <c r="B614" s="768"/>
    </row>
    <row r="615" ht="12.75">
      <c r="B615" s="768"/>
    </row>
    <row r="616" ht="12.75">
      <c r="B616" s="768"/>
    </row>
    <row r="617" ht="12.75">
      <c r="B617" s="768"/>
    </row>
    <row r="618" ht="12.75">
      <c r="B618" s="768"/>
    </row>
    <row r="619" ht="12.75">
      <c r="B619" s="768"/>
    </row>
    <row r="620" ht="12.75">
      <c r="B620" s="768"/>
    </row>
    <row r="621" ht="12.75">
      <c r="B621" s="768"/>
    </row>
    <row r="622" ht="12.75">
      <c r="B622" s="768"/>
    </row>
    <row r="623" ht="12.75">
      <c r="B623" s="768"/>
    </row>
    <row r="624" ht="12.75">
      <c r="B624" s="768"/>
    </row>
    <row r="625" ht="12.75">
      <c r="B625" s="768"/>
    </row>
    <row r="626" ht="12.75">
      <c r="B626" s="768"/>
    </row>
    <row r="627" ht="12.75">
      <c r="B627" s="768"/>
    </row>
    <row r="628" ht="12.75">
      <c r="B628" s="768"/>
    </row>
    <row r="629" ht="12.75">
      <c r="B629" s="768"/>
    </row>
    <row r="630" ht="12.75">
      <c r="B630" s="768"/>
    </row>
    <row r="631" ht="12.75">
      <c r="B631" s="768"/>
    </row>
    <row r="632" ht="12.75">
      <c r="B632" s="768"/>
    </row>
    <row r="633" ht="12.75">
      <c r="B633" s="768"/>
    </row>
    <row r="634" ht="12.75">
      <c r="B634" s="768"/>
    </row>
    <row r="635" ht="12.75">
      <c r="B635" s="768"/>
    </row>
    <row r="636" ht="12.75">
      <c r="B636" s="768"/>
    </row>
    <row r="637" ht="12.75">
      <c r="B637" s="768"/>
    </row>
    <row r="638" ht="12.75">
      <c r="B638" s="768"/>
    </row>
    <row r="639" ht="12.75">
      <c r="B639" s="768"/>
    </row>
    <row r="640" ht="12.75">
      <c r="B640" s="768"/>
    </row>
    <row r="641" ht="12.75">
      <c r="B641" s="768"/>
    </row>
    <row r="642" ht="12.75">
      <c r="B642" s="768"/>
    </row>
    <row r="643" ht="12.75">
      <c r="B643" s="768"/>
    </row>
    <row r="644" ht="12.75">
      <c r="B644" s="768"/>
    </row>
    <row r="645" ht="12.75">
      <c r="B645" s="768"/>
    </row>
    <row r="646" ht="12.75">
      <c r="B646" s="768"/>
    </row>
    <row r="647" ht="12.75">
      <c r="B647" s="768"/>
    </row>
    <row r="648" ht="12.75">
      <c r="B648" s="768"/>
    </row>
    <row r="649" ht="12.75">
      <c r="B649" s="768"/>
    </row>
    <row r="650" ht="12.75">
      <c r="B650" s="768"/>
    </row>
    <row r="651" ht="12.75">
      <c r="B651" s="768"/>
    </row>
    <row r="652" ht="12.75">
      <c r="B652" s="768"/>
    </row>
    <row r="653" ht="12.75">
      <c r="B653" s="768"/>
    </row>
    <row r="654" ht="12.75">
      <c r="B654" s="768"/>
    </row>
    <row r="655" ht="12.75">
      <c r="B655" s="768"/>
    </row>
    <row r="656" ht="12.75">
      <c r="B656" s="768"/>
    </row>
    <row r="657" ht="12.75">
      <c r="B657" s="768"/>
    </row>
    <row r="658" ht="12.75">
      <c r="B658" s="768"/>
    </row>
    <row r="659" ht="12.75">
      <c r="B659" s="768"/>
    </row>
    <row r="660" ht="12.75">
      <c r="B660" s="768"/>
    </row>
    <row r="661" ht="12.75">
      <c r="B661" s="768"/>
    </row>
    <row r="662" ht="12.75">
      <c r="B662" s="768"/>
    </row>
    <row r="663" ht="12.75">
      <c r="B663" s="768"/>
    </row>
    <row r="664" ht="12.75">
      <c r="B664" s="768"/>
    </row>
    <row r="665" ht="12.75">
      <c r="B665" s="768"/>
    </row>
    <row r="666" ht="12.75">
      <c r="B666" s="768"/>
    </row>
    <row r="667" ht="12.75">
      <c r="B667" s="768"/>
    </row>
    <row r="668" ht="12.75">
      <c r="B668" s="768"/>
    </row>
    <row r="669" ht="12.75">
      <c r="B669" s="768"/>
    </row>
    <row r="670" ht="12.75">
      <c r="B670" s="768"/>
    </row>
    <row r="671" ht="12.75">
      <c r="B671" s="768"/>
    </row>
    <row r="672" ht="12.75">
      <c r="B672" s="768"/>
    </row>
    <row r="673" ht="12.75">
      <c r="B673" s="768"/>
    </row>
    <row r="674" ht="12.75">
      <c r="B674" s="768"/>
    </row>
    <row r="675" ht="12.75">
      <c r="B675" s="768"/>
    </row>
    <row r="676" ht="12.75">
      <c r="B676" s="768"/>
    </row>
    <row r="677" ht="12.75">
      <c r="B677" s="768"/>
    </row>
    <row r="678" ht="12.75">
      <c r="B678" s="768"/>
    </row>
    <row r="679" ht="12.75">
      <c r="B679" s="768"/>
    </row>
    <row r="680" ht="12.75">
      <c r="B680" s="768"/>
    </row>
    <row r="681" ht="12.75">
      <c r="B681" s="768"/>
    </row>
    <row r="682" ht="12.75">
      <c r="B682" s="768"/>
    </row>
    <row r="683" ht="12.75">
      <c r="B683" s="768"/>
    </row>
    <row r="684" ht="12.75">
      <c r="B684" s="768"/>
    </row>
    <row r="685" ht="12.75">
      <c r="B685" s="768"/>
    </row>
    <row r="686" ht="12.75">
      <c r="B686" s="768"/>
    </row>
    <row r="687" ht="12.75">
      <c r="B687" s="768"/>
    </row>
    <row r="688" ht="12.75">
      <c r="B688" s="768"/>
    </row>
    <row r="689" ht="12.75">
      <c r="B689" s="768"/>
    </row>
    <row r="690" ht="12.75">
      <c r="B690" s="768"/>
    </row>
    <row r="691" ht="12.75">
      <c r="B691" s="768"/>
    </row>
    <row r="692" ht="12.75">
      <c r="B692" s="768"/>
    </row>
    <row r="693" ht="12.75">
      <c r="B693" s="768"/>
    </row>
    <row r="694" ht="12.75">
      <c r="B694" s="768"/>
    </row>
    <row r="695" ht="12.75">
      <c r="B695" s="768"/>
    </row>
    <row r="696" ht="12.75">
      <c r="B696" s="768"/>
    </row>
    <row r="697" ht="12.75">
      <c r="B697" s="768"/>
    </row>
    <row r="698" ht="12.75">
      <c r="B698" s="768"/>
    </row>
    <row r="699" ht="12.75">
      <c r="B699" s="768"/>
    </row>
    <row r="700" ht="12.75">
      <c r="B700" s="768"/>
    </row>
    <row r="701" ht="12.75">
      <c r="B701" s="768"/>
    </row>
    <row r="702" ht="12.75">
      <c r="B702" s="768"/>
    </row>
    <row r="703" ht="12.75">
      <c r="B703" s="768"/>
    </row>
    <row r="704" ht="12.75">
      <c r="B704" s="768"/>
    </row>
    <row r="705" ht="12.75">
      <c r="B705" s="768"/>
    </row>
    <row r="706" ht="12.75">
      <c r="B706" s="768"/>
    </row>
    <row r="707" ht="12.75">
      <c r="B707" s="768"/>
    </row>
    <row r="708" ht="12.75">
      <c r="B708" s="768"/>
    </row>
    <row r="709" ht="12.75">
      <c r="B709" s="768"/>
    </row>
    <row r="710" ht="12.75">
      <c r="B710" s="768"/>
    </row>
    <row r="711" ht="12.75">
      <c r="B711" s="768"/>
    </row>
    <row r="712" ht="12.75">
      <c r="B712" s="768"/>
    </row>
    <row r="713" ht="12.75">
      <c r="B713" s="768"/>
    </row>
    <row r="714" ht="12.75">
      <c r="B714" s="768"/>
    </row>
    <row r="715" ht="12.75">
      <c r="B715" s="768"/>
    </row>
    <row r="716" ht="12.75">
      <c r="B716" s="768"/>
    </row>
    <row r="717" ht="12.75">
      <c r="B717" s="768"/>
    </row>
    <row r="718" ht="12.75">
      <c r="B718" s="768"/>
    </row>
    <row r="719" ht="12.75">
      <c r="B719" s="768"/>
    </row>
    <row r="720" ht="12.75">
      <c r="B720" s="768"/>
    </row>
    <row r="721" ht="12.75">
      <c r="B721" s="768"/>
    </row>
    <row r="722" ht="12.75">
      <c r="B722" s="768"/>
    </row>
    <row r="723" ht="12.75">
      <c r="B723" s="768"/>
    </row>
    <row r="724" ht="12.75">
      <c r="B724" s="768"/>
    </row>
    <row r="725" ht="12.75">
      <c r="B725" s="768"/>
    </row>
    <row r="726" ht="12.75">
      <c r="B726" s="768"/>
    </row>
    <row r="727" ht="12.75">
      <c r="B727" s="768"/>
    </row>
    <row r="728" ht="12.75">
      <c r="B728" s="768"/>
    </row>
    <row r="729" ht="12.75">
      <c r="B729" s="768"/>
    </row>
    <row r="730" ht="12.75">
      <c r="B730" s="768"/>
    </row>
    <row r="731" ht="12.75">
      <c r="B731" s="768"/>
    </row>
    <row r="732" ht="12.75">
      <c r="B732" s="768"/>
    </row>
    <row r="733" ht="12.75">
      <c r="B733" s="768"/>
    </row>
    <row r="734" ht="12.75">
      <c r="B734" s="768"/>
    </row>
    <row r="735" ht="12.75">
      <c r="B735" s="768"/>
    </row>
    <row r="736" ht="12.75">
      <c r="B736" s="768"/>
    </row>
    <row r="737" ht="12.75">
      <c r="B737" s="768"/>
    </row>
    <row r="738" ht="12.75">
      <c r="B738" s="768"/>
    </row>
    <row r="739" ht="12.75">
      <c r="B739" s="768"/>
    </row>
    <row r="740" ht="12.75">
      <c r="B740" s="768"/>
    </row>
    <row r="741" ht="12.75">
      <c r="B741" s="768"/>
    </row>
    <row r="742" ht="12.75">
      <c r="B742" s="768"/>
    </row>
    <row r="743" ht="12.75">
      <c r="B743" s="768"/>
    </row>
    <row r="744" ht="12.75">
      <c r="B744" s="768"/>
    </row>
    <row r="745" ht="12.75">
      <c r="B745" s="768"/>
    </row>
    <row r="746" ht="12.75">
      <c r="B746" s="768"/>
    </row>
    <row r="747" ht="12.75">
      <c r="B747" s="768"/>
    </row>
    <row r="748" ht="12.75">
      <c r="B748" s="768"/>
    </row>
    <row r="749" ht="12.75">
      <c r="B749" s="768"/>
    </row>
    <row r="750" ht="12.75">
      <c r="B750" s="768"/>
    </row>
    <row r="751" ht="12.75">
      <c r="B751" s="768"/>
    </row>
    <row r="752" ht="12.75">
      <c r="B752" s="768"/>
    </row>
    <row r="753" ht="12.75">
      <c r="B753" s="768"/>
    </row>
    <row r="754" ht="12.75">
      <c r="B754" s="768"/>
    </row>
    <row r="755" ht="12.75">
      <c r="B755" s="768"/>
    </row>
    <row r="756" ht="12.75">
      <c r="B756" s="768"/>
    </row>
    <row r="757" ht="12.75">
      <c r="B757" s="768"/>
    </row>
    <row r="758" ht="12.75">
      <c r="B758" s="768"/>
    </row>
    <row r="759" ht="12.75">
      <c r="B759" s="768"/>
    </row>
    <row r="760" ht="12.75">
      <c r="B760" s="768"/>
    </row>
    <row r="761" ht="12.75">
      <c r="B761" s="768"/>
    </row>
    <row r="762" ht="12.75">
      <c r="B762" s="768"/>
    </row>
    <row r="763" ht="12.75">
      <c r="B763" s="768"/>
    </row>
    <row r="764" ht="12.75">
      <c r="B764" s="768"/>
    </row>
    <row r="765" ht="12.75">
      <c r="B765" s="768"/>
    </row>
    <row r="766" ht="12.75">
      <c r="B766" s="768"/>
    </row>
    <row r="767" ht="12.75">
      <c r="B767" s="768"/>
    </row>
    <row r="768" ht="12.75">
      <c r="B768" s="768"/>
    </row>
    <row r="769" ht="12.75">
      <c r="B769" s="768"/>
    </row>
    <row r="770" ht="12.75">
      <c r="B770" s="768"/>
    </row>
    <row r="771" ht="12.75">
      <c r="B771" s="768"/>
    </row>
    <row r="772" ht="12.75">
      <c r="B772" s="768"/>
    </row>
    <row r="773" ht="12.75">
      <c r="B773" s="768"/>
    </row>
    <row r="774" ht="12.75">
      <c r="B774" s="768"/>
    </row>
    <row r="775" ht="12.75">
      <c r="B775" s="768"/>
    </row>
    <row r="776" ht="12.75">
      <c r="B776" s="768"/>
    </row>
    <row r="777" ht="12.75">
      <c r="B777" s="768"/>
    </row>
    <row r="778" ht="12.75">
      <c r="B778" s="768"/>
    </row>
    <row r="779" ht="12.75">
      <c r="B779" s="768"/>
    </row>
    <row r="780" ht="12.75">
      <c r="B780" s="768"/>
    </row>
    <row r="781" ht="12.75">
      <c r="B781" s="768"/>
    </row>
    <row r="782" ht="12.75">
      <c r="B782" s="768"/>
    </row>
  </sheetData>
  <sheetProtection/>
  <mergeCells count="5">
    <mergeCell ref="B39:C39"/>
    <mergeCell ref="A4:C4"/>
    <mergeCell ref="A13:A14"/>
    <mergeCell ref="C13:C14"/>
    <mergeCell ref="B18:C18"/>
  </mergeCells>
  <printOptions/>
  <pageMargins left="0.7480314960629921" right="0.7480314960629921" top="0.984251968503937" bottom="0.984251968503937" header="0.5118110236220472" footer="0.5118110236220472"/>
  <pageSetup firstPageNumber="32" useFirstPageNumber="1" horizontalDpi="300" verticalDpi="300" orientation="portrait" paperSize="9" r:id="rId1"/>
  <headerFooter alignWithMargins="0">
    <oddHeader>&amp;R1.a. melléklet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G74" sqref="G74"/>
    </sheetView>
  </sheetViews>
  <sheetFormatPr defaultColWidth="9.140625" defaultRowHeight="12.75"/>
  <cols>
    <col min="1" max="1" width="35.28125" style="541" customWidth="1"/>
    <col min="2" max="4" width="11.8515625" style="541" customWidth="1"/>
    <col min="5" max="5" width="12.00390625" style="541" customWidth="1"/>
    <col min="6" max="16384" width="9.140625" style="541" customWidth="1"/>
  </cols>
  <sheetData>
    <row r="1" spans="1:5" ht="49.5" customHeight="1">
      <c r="A1" s="540" t="s">
        <v>1246</v>
      </c>
      <c r="B1" s="1165" t="s">
        <v>1247</v>
      </c>
      <c r="C1" s="1165"/>
      <c r="D1" s="1165"/>
      <c r="E1" s="1165"/>
    </row>
    <row r="2" spans="4:5" ht="13.5" thickBot="1">
      <c r="D2" s="1166" t="s">
        <v>1248</v>
      </c>
      <c r="E2" s="1166"/>
    </row>
    <row r="3" spans="1:5" ht="15" customHeight="1" thickBot="1">
      <c r="A3" s="542" t="s">
        <v>1249</v>
      </c>
      <c r="B3" s="543" t="s">
        <v>1226</v>
      </c>
      <c r="C3" s="543" t="s">
        <v>1227</v>
      </c>
      <c r="D3" s="543" t="s">
        <v>1250</v>
      </c>
      <c r="E3" s="544" t="s">
        <v>1225</v>
      </c>
    </row>
    <row r="4" spans="1:5" ht="15.75">
      <c r="A4" s="545" t="s">
        <v>1251</v>
      </c>
      <c r="B4" s="546">
        <v>120000</v>
      </c>
      <c r="C4" s="546">
        <v>441978</v>
      </c>
      <c r="D4" s="546"/>
      <c r="E4" s="547">
        <f aca="true" t="shared" si="0" ref="E4:E10">SUM(B4:D4)</f>
        <v>561978</v>
      </c>
    </row>
    <row r="5" spans="1:5" ht="15.75">
      <c r="A5" s="548" t="s">
        <v>1252</v>
      </c>
      <c r="B5" s="549">
        <v>0</v>
      </c>
      <c r="C5" s="549">
        <v>0</v>
      </c>
      <c r="D5" s="549"/>
      <c r="E5" s="550">
        <f t="shared" si="0"/>
        <v>0</v>
      </c>
    </row>
    <row r="6" spans="1:5" ht="15.75">
      <c r="A6" s="551" t="s">
        <v>1253</v>
      </c>
      <c r="B6" s="552">
        <v>139780</v>
      </c>
      <c r="C6" s="552">
        <f>1133124-441978</f>
        <v>691146</v>
      </c>
      <c r="D6" s="552"/>
      <c r="E6" s="553">
        <f t="shared" si="0"/>
        <v>830926</v>
      </c>
    </row>
    <row r="7" spans="1:5" ht="15.75">
      <c r="A7" s="551" t="s">
        <v>1254</v>
      </c>
      <c r="B7" s="552">
        <v>0</v>
      </c>
      <c r="C7" s="552">
        <v>0</v>
      </c>
      <c r="D7" s="552"/>
      <c r="E7" s="553">
        <f t="shared" si="0"/>
        <v>0</v>
      </c>
    </row>
    <row r="8" spans="1:5" ht="15.75">
      <c r="A8" s="551" t="s">
        <v>1255</v>
      </c>
      <c r="B8" s="552">
        <v>0</v>
      </c>
      <c r="C8" s="552">
        <v>0</v>
      </c>
      <c r="D8" s="552"/>
      <c r="E8" s="553">
        <f t="shared" si="0"/>
        <v>0</v>
      </c>
    </row>
    <row r="9" spans="1:5" ht="15.75">
      <c r="A9" s="551" t="s">
        <v>1256</v>
      </c>
      <c r="B9" s="552">
        <v>0</v>
      </c>
      <c r="C9" s="552">
        <v>0</v>
      </c>
      <c r="D9" s="552"/>
      <c r="E9" s="553">
        <f t="shared" si="0"/>
        <v>0</v>
      </c>
    </row>
    <row r="10" spans="1:5" ht="16.5" thickBot="1">
      <c r="A10" s="554"/>
      <c r="B10" s="555"/>
      <c r="C10" s="555"/>
      <c r="D10" s="555"/>
      <c r="E10" s="553">
        <f t="shared" si="0"/>
        <v>0</v>
      </c>
    </row>
    <row r="11" spans="1:5" ht="19.5" thickBot="1">
      <c r="A11" s="556" t="s">
        <v>1257</v>
      </c>
      <c r="B11" s="557">
        <f>B4+SUM(B6:B10)</f>
        <v>259780</v>
      </c>
      <c r="C11" s="557">
        <f>C4+SUM(C6:C10)</f>
        <v>1133124</v>
      </c>
      <c r="D11" s="557">
        <f>D4+SUM(D6:D10)</f>
        <v>0</v>
      </c>
      <c r="E11" s="558">
        <f>E4+SUM(E6:E10)</f>
        <v>1392904</v>
      </c>
    </row>
    <row r="12" spans="1:5" ht="13.5" thickBot="1">
      <c r="A12" s="559"/>
      <c r="B12" s="559"/>
      <c r="C12" s="559"/>
      <c r="D12" s="559"/>
      <c r="E12" s="559"/>
    </row>
    <row r="13" spans="1:5" ht="15" customHeight="1" thickBot="1">
      <c r="A13" s="542" t="s">
        <v>1258</v>
      </c>
      <c r="B13" s="543" t="s">
        <v>1226</v>
      </c>
      <c r="C13" s="543" t="s">
        <v>1227</v>
      </c>
      <c r="D13" s="543" t="s">
        <v>1250</v>
      </c>
      <c r="E13" s="544" t="s">
        <v>1225</v>
      </c>
    </row>
    <row r="14" spans="1:5" ht="16.5" thickBot="1">
      <c r="A14" s="545" t="s">
        <v>1259</v>
      </c>
      <c r="B14" s="546">
        <v>0</v>
      </c>
      <c r="C14" s="546">
        <v>0</v>
      </c>
      <c r="D14" s="546"/>
      <c r="E14" s="546">
        <f aca="true" t="shared" si="1" ref="E14:E20">SUM(B14:D14)</f>
        <v>0</v>
      </c>
    </row>
    <row r="15" spans="1:5" ht="16.5" thickBot="1">
      <c r="A15" s="548" t="s">
        <v>1260</v>
      </c>
      <c r="B15" s="546">
        <v>191155</v>
      </c>
      <c r="C15" s="546">
        <f>1270279-B15</f>
        <v>1079124</v>
      </c>
      <c r="D15" s="546"/>
      <c r="E15" s="546">
        <f t="shared" si="1"/>
        <v>1270279</v>
      </c>
    </row>
    <row r="16" spans="1:5" ht="16.5" thickBot="1">
      <c r="A16" s="551" t="s">
        <v>1261</v>
      </c>
      <c r="B16" s="546">
        <v>68625</v>
      </c>
      <c r="C16" s="546">
        <v>54000</v>
      </c>
      <c r="D16" s="546"/>
      <c r="E16" s="546">
        <f t="shared" si="1"/>
        <v>122625</v>
      </c>
    </row>
    <row r="17" spans="1:5" ht="16.5" thickBot="1">
      <c r="A17" s="551" t="s">
        <v>1262</v>
      </c>
      <c r="B17" s="546">
        <v>0</v>
      </c>
      <c r="C17" s="546">
        <v>0</v>
      </c>
      <c r="D17" s="546"/>
      <c r="E17" s="546">
        <f t="shared" si="1"/>
        <v>0</v>
      </c>
    </row>
    <row r="18" spans="1:5" ht="16.5" thickBot="1">
      <c r="A18" s="560"/>
      <c r="B18" s="546"/>
      <c r="C18" s="546"/>
      <c r="D18" s="546"/>
      <c r="E18" s="546">
        <f t="shared" si="1"/>
        <v>0</v>
      </c>
    </row>
    <row r="19" spans="1:5" ht="16.5" thickBot="1">
      <c r="A19" s="560"/>
      <c r="B19" s="546"/>
      <c r="C19" s="546"/>
      <c r="D19" s="546"/>
      <c r="E19" s="546">
        <f t="shared" si="1"/>
        <v>0</v>
      </c>
    </row>
    <row r="20" spans="1:5" ht="16.5" thickBot="1">
      <c r="A20" s="561"/>
      <c r="B20" s="546"/>
      <c r="C20" s="546"/>
      <c r="D20" s="546"/>
      <c r="E20" s="546">
        <f t="shared" si="1"/>
        <v>0</v>
      </c>
    </row>
    <row r="21" spans="1:5" ht="19.5" thickBot="1">
      <c r="A21" s="556" t="s">
        <v>1263</v>
      </c>
      <c r="B21" s="557">
        <f>SUM(B14:B20)</f>
        <v>259780</v>
      </c>
      <c r="C21" s="557">
        <f>SUM(C14:C20)</f>
        <v>1133124</v>
      </c>
      <c r="D21" s="557">
        <f>SUM(D14:D20)</f>
        <v>0</v>
      </c>
      <c r="E21" s="558">
        <f>SUM(E14:E20)</f>
        <v>1392904</v>
      </c>
    </row>
    <row r="24" spans="1:5" ht="16.5">
      <c r="A24" s="540" t="s">
        <v>1246</v>
      </c>
      <c r="B24" s="1165" t="s">
        <v>1264</v>
      </c>
      <c r="C24" s="1165"/>
      <c r="D24" s="1165"/>
      <c r="E24" s="1165"/>
    </row>
    <row r="25" spans="4:5" ht="13.5" thickBot="1">
      <c r="D25" s="1166" t="s">
        <v>1248</v>
      </c>
      <c r="E25" s="1166"/>
    </row>
    <row r="26" spans="1:5" ht="16.5" thickBot="1">
      <c r="A26" s="542" t="s">
        <v>1249</v>
      </c>
      <c r="B26" s="543" t="s">
        <v>1226</v>
      </c>
      <c r="C26" s="543" t="s">
        <v>1227</v>
      </c>
      <c r="D26" s="543" t="s">
        <v>1250</v>
      </c>
      <c r="E26" s="544" t="s">
        <v>1225</v>
      </c>
    </row>
    <row r="27" spans="1:5" ht="16.5" thickBot="1">
      <c r="A27" s="545" t="s">
        <v>1251</v>
      </c>
      <c r="B27" s="546">
        <f>B44*0.08</f>
        <v>43.6</v>
      </c>
      <c r="C27" s="546"/>
      <c r="D27" s="546"/>
      <c r="E27" s="546">
        <f aca="true" t="shared" si="2" ref="E27:E33">SUM(B27:D27)</f>
        <v>43.6</v>
      </c>
    </row>
    <row r="28" spans="1:5" ht="16.5" thickBot="1">
      <c r="A28" s="548" t="s">
        <v>1252</v>
      </c>
      <c r="B28" s="546"/>
      <c r="C28" s="546"/>
      <c r="D28" s="546"/>
      <c r="E28" s="546">
        <f t="shared" si="2"/>
        <v>0</v>
      </c>
    </row>
    <row r="29" spans="1:5" ht="16.5" thickBot="1">
      <c r="A29" s="551" t="s">
        <v>1253</v>
      </c>
      <c r="B29" s="546">
        <f>B44*0.92</f>
        <v>501.40000000000003</v>
      </c>
      <c r="C29" s="546"/>
      <c r="D29" s="546"/>
      <c r="E29" s="546">
        <f t="shared" si="2"/>
        <v>501.40000000000003</v>
      </c>
    </row>
    <row r="30" spans="1:5" ht="16.5" thickBot="1">
      <c r="A30" s="551" t="s">
        <v>1254</v>
      </c>
      <c r="B30" s="546"/>
      <c r="C30" s="546"/>
      <c r="D30" s="546"/>
      <c r="E30" s="546">
        <f t="shared" si="2"/>
        <v>0</v>
      </c>
    </row>
    <row r="31" spans="1:5" ht="16.5" thickBot="1">
      <c r="A31" s="551" t="s">
        <v>1255</v>
      </c>
      <c r="B31" s="546"/>
      <c r="C31" s="546"/>
      <c r="D31" s="546"/>
      <c r="E31" s="546">
        <f t="shared" si="2"/>
        <v>0</v>
      </c>
    </row>
    <row r="32" spans="1:5" ht="16.5" thickBot="1">
      <c r="A32" s="551" t="s">
        <v>1256</v>
      </c>
      <c r="B32" s="546"/>
      <c r="C32" s="546"/>
      <c r="D32" s="546"/>
      <c r="E32" s="546">
        <f t="shared" si="2"/>
        <v>0</v>
      </c>
    </row>
    <row r="33" spans="1:5" ht="16.5" thickBot="1">
      <c r="A33" s="561"/>
      <c r="B33" s="546"/>
      <c r="C33" s="546"/>
      <c r="D33" s="546"/>
      <c r="E33" s="546">
        <f t="shared" si="2"/>
        <v>0</v>
      </c>
    </row>
    <row r="34" spans="1:5" ht="19.5" thickBot="1">
      <c r="A34" s="556" t="s">
        <v>1257</v>
      </c>
      <c r="B34" s="557">
        <f>B27+SUM(B29:B33)</f>
        <v>545</v>
      </c>
      <c r="C34" s="557">
        <f>C27+SUM(C29:C33)</f>
        <v>0</v>
      </c>
      <c r="D34" s="557">
        <f>D27+SUM(D29:D33)</f>
        <v>0</v>
      </c>
      <c r="E34" s="558">
        <f>E27+SUM(E29:E33)</f>
        <v>545</v>
      </c>
    </row>
    <row r="35" spans="1:5" ht="13.5" thickBot="1">
      <c r="A35" s="559"/>
      <c r="B35" s="559"/>
      <c r="C35" s="559"/>
      <c r="D35" s="559"/>
      <c r="E35" s="559"/>
    </row>
    <row r="36" spans="1:5" ht="16.5" thickBot="1">
      <c r="A36" s="542" t="s">
        <v>1258</v>
      </c>
      <c r="B36" s="543" t="s">
        <v>1226</v>
      </c>
      <c r="C36" s="543" t="s">
        <v>1227</v>
      </c>
      <c r="D36" s="543" t="s">
        <v>1250</v>
      </c>
      <c r="E36" s="544" t="s">
        <v>1225</v>
      </c>
    </row>
    <row r="37" spans="1:5" ht="16.5" thickBot="1">
      <c r="A37" s="545" t="s">
        <v>1259</v>
      </c>
      <c r="B37" s="546">
        <v>258</v>
      </c>
      <c r="C37" s="546"/>
      <c r="D37" s="546"/>
      <c r="E37" s="546">
        <f aca="true" t="shared" si="3" ref="E37:E43">SUM(B37:D37)</f>
        <v>258</v>
      </c>
    </row>
    <row r="38" spans="1:5" ht="16.5" thickBot="1">
      <c r="A38" s="545" t="s">
        <v>1260</v>
      </c>
      <c r="B38" s="546"/>
      <c r="C38" s="546"/>
      <c r="D38" s="546"/>
      <c r="E38" s="546">
        <f t="shared" si="3"/>
        <v>0</v>
      </c>
    </row>
    <row r="39" spans="1:5" ht="16.5" thickBot="1">
      <c r="A39" s="545" t="s">
        <v>1261</v>
      </c>
      <c r="B39" s="546">
        <v>287</v>
      </c>
      <c r="C39" s="546"/>
      <c r="D39" s="546"/>
      <c r="E39" s="546">
        <f t="shared" si="3"/>
        <v>287</v>
      </c>
    </row>
    <row r="40" spans="1:5" ht="16.5" thickBot="1">
      <c r="A40" s="545" t="s">
        <v>1262</v>
      </c>
      <c r="B40" s="546"/>
      <c r="C40" s="546"/>
      <c r="D40" s="546"/>
      <c r="E40" s="546">
        <f t="shared" si="3"/>
        <v>0</v>
      </c>
    </row>
    <row r="41" spans="1:5" ht="16.5" thickBot="1">
      <c r="A41" s="545"/>
      <c r="B41" s="546"/>
      <c r="C41" s="546"/>
      <c r="D41" s="546"/>
      <c r="E41" s="546">
        <f t="shared" si="3"/>
        <v>0</v>
      </c>
    </row>
    <row r="42" spans="1:5" ht="16.5" thickBot="1">
      <c r="A42" s="560"/>
      <c r="B42" s="546"/>
      <c r="C42" s="546"/>
      <c r="D42" s="546"/>
      <c r="E42" s="546">
        <f t="shared" si="3"/>
        <v>0</v>
      </c>
    </row>
    <row r="43" spans="1:5" ht="16.5" thickBot="1">
      <c r="A43" s="561"/>
      <c r="B43" s="546"/>
      <c r="C43" s="546"/>
      <c r="D43" s="546"/>
      <c r="E43" s="546">
        <f t="shared" si="3"/>
        <v>0</v>
      </c>
    </row>
    <row r="44" spans="1:5" ht="19.5" thickBot="1">
      <c r="A44" s="556" t="s">
        <v>1263</v>
      </c>
      <c r="B44" s="557">
        <f>SUM(B37:B43)</f>
        <v>545</v>
      </c>
      <c r="C44" s="557">
        <f>SUM(C37:C43)</f>
        <v>0</v>
      </c>
      <c r="D44" s="557">
        <f>SUM(D37:D43)</f>
        <v>0</v>
      </c>
      <c r="E44" s="558">
        <f>SUM(E37:E43)</f>
        <v>545</v>
      </c>
    </row>
    <row r="47" spans="1:5" ht="32.25" customHeight="1">
      <c r="A47" s="562" t="s">
        <v>1246</v>
      </c>
      <c r="B47" s="1165" t="s">
        <v>1265</v>
      </c>
      <c r="C47" s="1165"/>
      <c r="D47" s="1165"/>
      <c r="E47" s="1165"/>
    </row>
    <row r="48" spans="4:8" ht="13.5" thickBot="1">
      <c r="D48" s="1166" t="s">
        <v>1248</v>
      </c>
      <c r="E48" s="1166"/>
      <c r="H48" s="563"/>
    </row>
    <row r="49" spans="1:5" ht="21.75" customHeight="1" thickBot="1">
      <c r="A49" s="556" t="s">
        <v>1249</v>
      </c>
      <c r="B49" s="543" t="s">
        <v>1226</v>
      </c>
      <c r="C49" s="543" t="s">
        <v>1227</v>
      </c>
      <c r="D49" s="543" t="s">
        <v>1250</v>
      </c>
      <c r="E49" s="543" t="s">
        <v>1225</v>
      </c>
    </row>
    <row r="50" spans="1:5" ht="16.5" thickBot="1">
      <c r="A50" s="545" t="s">
        <v>1251</v>
      </c>
      <c r="B50" s="546">
        <f>B67*0.1</f>
        <v>6653.280400000001</v>
      </c>
      <c r="C50" s="546"/>
      <c r="D50" s="546"/>
      <c r="E50" s="546">
        <f aca="true" t="shared" si="4" ref="E50:E56">SUM(B50:D50)</f>
        <v>6653.280400000001</v>
      </c>
    </row>
    <row r="51" spans="1:5" ht="16.5" thickBot="1">
      <c r="A51" s="545" t="s">
        <v>1252</v>
      </c>
      <c r="B51" s="546">
        <v>0</v>
      </c>
      <c r="C51" s="546"/>
      <c r="D51" s="546"/>
      <c r="E51" s="546">
        <f t="shared" si="4"/>
        <v>0</v>
      </c>
    </row>
    <row r="52" spans="1:5" ht="16.5" thickBot="1">
      <c r="A52" s="545" t="s">
        <v>1253</v>
      </c>
      <c r="B52" s="546">
        <f>B67*0.9</f>
        <v>59879.52360000001</v>
      </c>
      <c r="C52" s="546"/>
      <c r="D52" s="546"/>
      <c r="E52" s="546">
        <f t="shared" si="4"/>
        <v>59879.52360000001</v>
      </c>
    </row>
    <row r="53" spans="1:5" ht="16.5" thickBot="1">
      <c r="A53" s="545" t="s">
        <v>1254</v>
      </c>
      <c r="B53" s="546">
        <v>0</v>
      </c>
      <c r="C53" s="546"/>
      <c r="D53" s="546"/>
      <c r="E53" s="546">
        <f t="shared" si="4"/>
        <v>0</v>
      </c>
    </row>
    <row r="54" spans="1:5" ht="16.5" thickBot="1">
      <c r="A54" s="545" t="s">
        <v>1255</v>
      </c>
      <c r="B54" s="546">
        <v>0</v>
      </c>
      <c r="C54" s="546"/>
      <c r="D54" s="546"/>
      <c r="E54" s="546">
        <f t="shared" si="4"/>
        <v>0</v>
      </c>
    </row>
    <row r="55" spans="1:5" ht="15.75">
      <c r="A55" s="545" t="s">
        <v>1256</v>
      </c>
      <c r="B55" s="546">
        <v>0</v>
      </c>
      <c r="C55" s="546"/>
      <c r="D55" s="546"/>
      <c r="E55" s="546">
        <f t="shared" si="4"/>
        <v>0</v>
      </c>
    </row>
    <row r="56" spans="1:5" ht="13.5" thickBot="1">
      <c r="A56" s="561"/>
      <c r="B56" s="564"/>
      <c r="C56" s="564"/>
      <c r="D56" s="564"/>
      <c r="E56" s="565">
        <f t="shared" si="4"/>
        <v>0</v>
      </c>
    </row>
    <row r="57" spans="1:5" ht="19.5" thickBot="1">
      <c r="A57" s="556" t="s">
        <v>1257</v>
      </c>
      <c r="B57" s="557">
        <f>B50+SUM(B52:B56)</f>
        <v>66532.804</v>
      </c>
      <c r="C57" s="557">
        <f>C50+SUM(C52:C56)</f>
        <v>0</v>
      </c>
      <c r="D57" s="557">
        <f>D50+SUM(D52:D56)</f>
        <v>0</v>
      </c>
      <c r="E57" s="557">
        <f>E50+SUM(E52:E56)</f>
        <v>66532.804</v>
      </c>
    </row>
    <row r="58" spans="1:5" ht="13.5" thickBot="1">
      <c r="A58" s="559"/>
      <c r="B58" s="559"/>
      <c r="C58" s="559"/>
      <c r="D58" s="559"/>
      <c r="E58" s="559"/>
    </row>
    <row r="59" spans="1:5" ht="19.5" thickBot="1">
      <c r="A59" s="556" t="s">
        <v>1258</v>
      </c>
      <c r="B59" s="543" t="s">
        <v>1226</v>
      </c>
      <c r="C59" s="543" t="s">
        <v>1227</v>
      </c>
      <c r="D59" s="543" t="s">
        <v>1250</v>
      </c>
      <c r="E59" s="543" t="s">
        <v>1225</v>
      </c>
    </row>
    <row r="60" spans="1:5" ht="16.5" thickBot="1">
      <c r="A60" s="545" t="s">
        <v>1259</v>
      </c>
      <c r="B60" s="546">
        <f>4249568/1000</f>
        <v>4249.568</v>
      </c>
      <c r="C60" s="546"/>
      <c r="D60" s="546"/>
      <c r="E60" s="546">
        <f aca="true" t="shared" si="5" ref="E60:E66">SUM(B60:D60)</f>
        <v>4249.568</v>
      </c>
    </row>
    <row r="61" spans="1:5" ht="16.5" thickBot="1">
      <c r="A61" s="545" t="s">
        <v>1260</v>
      </c>
      <c r="B61" s="546">
        <f>57089936/1000</f>
        <v>57089.936</v>
      </c>
      <c r="C61" s="546"/>
      <c r="D61" s="546"/>
      <c r="E61" s="546">
        <f t="shared" si="5"/>
        <v>57089.936</v>
      </c>
    </row>
    <row r="62" spans="1:5" ht="16.5" thickBot="1">
      <c r="A62" s="545" t="s">
        <v>1261</v>
      </c>
      <c r="B62" s="546">
        <f>5193300/1000</f>
        <v>5193.3</v>
      </c>
      <c r="C62" s="546"/>
      <c r="D62" s="546"/>
      <c r="E62" s="546">
        <f t="shared" si="5"/>
        <v>5193.3</v>
      </c>
    </row>
    <row r="63" spans="1:5" ht="16.5" thickBot="1">
      <c r="A63" s="545" t="s">
        <v>1262</v>
      </c>
      <c r="B63" s="546">
        <v>0</v>
      </c>
      <c r="C63" s="546"/>
      <c r="D63" s="546"/>
      <c r="E63" s="546">
        <f t="shared" si="5"/>
        <v>0</v>
      </c>
    </row>
    <row r="64" spans="1:5" ht="16.5" thickBot="1">
      <c r="A64" s="560"/>
      <c r="B64" s="546"/>
      <c r="C64" s="546"/>
      <c r="D64" s="546"/>
      <c r="E64" s="546">
        <f t="shared" si="5"/>
        <v>0</v>
      </c>
    </row>
    <row r="65" spans="1:5" ht="16.5" thickBot="1">
      <c r="A65" s="560"/>
      <c r="B65" s="546"/>
      <c r="C65" s="546"/>
      <c r="D65" s="546"/>
      <c r="E65" s="546">
        <f t="shared" si="5"/>
        <v>0</v>
      </c>
    </row>
    <row r="66" spans="1:5" ht="16.5" thickBot="1">
      <c r="A66" s="561"/>
      <c r="B66" s="546"/>
      <c r="C66" s="546"/>
      <c r="D66" s="546"/>
      <c r="E66" s="546">
        <f t="shared" si="5"/>
        <v>0</v>
      </c>
    </row>
    <row r="67" spans="1:5" ht="19.5" thickBot="1">
      <c r="A67" s="556" t="s">
        <v>1263</v>
      </c>
      <c r="B67" s="557">
        <f>SUM(B60:B66)</f>
        <v>66532.804</v>
      </c>
      <c r="C67" s="557">
        <f>SUM(C60:C66)</f>
        <v>0</v>
      </c>
      <c r="D67" s="557">
        <f>SUM(D60:D66)</f>
        <v>0</v>
      </c>
      <c r="E67" s="557">
        <f>SUM(E60:E66)</f>
        <v>66532.804</v>
      </c>
    </row>
    <row r="70" ht="15.75">
      <c r="A70" s="562" t="s">
        <v>1266</v>
      </c>
    </row>
    <row r="71" ht="15.75">
      <c r="A71" s="562"/>
    </row>
    <row r="72" spans="4:5" ht="13.5" thickBot="1">
      <c r="D72" s="1166" t="s">
        <v>1248</v>
      </c>
      <c r="E72" s="1166"/>
    </row>
    <row r="73" spans="1:5" ht="12.75" customHeight="1" thickBot="1">
      <c r="A73" s="545" t="s">
        <v>1267</v>
      </c>
      <c r="B73" s="545"/>
      <c r="C73" s="545"/>
      <c r="D73" s="1167">
        <v>6140</v>
      </c>
      <c r="E73" s="1168"/>
    </row>
    <row r="74" spans="1:5" ht="16.5" thickBot="1">
      <c r="A74" s="566" t="s">
        <v>1268</v>
      </c>
      <c r="B74" s="567"/>
      <c r="C74" s="568"/>
      <c r="D74" s="1167">
        <v>1000</v>
      </c>
      <c r="E74" s="1168"/>
    </row>
    <row r="75" spans="1:5" ht="19.5" thickBot="1">
      <c r="A75" s="569" t="s">
        <v>1263</v>
      </c>
      <c r="B75" s="570"/>
      <c r="C75" s="570"/>
      <c r="D75" s="1169">
        <f>SUM(D73:E74)</f>
        <v>7140</v>
      </c>
      <c r="E75" s="1170"/>
    </row>
  </sheetData>
  <sheetProtection selectLockedCells="1" selectUnlockedCells="1"/>
  <mergeCells count="10">
    <mergeCell ref="B1:E1"/>
    <mergeCell ref="D2:E2"/>
    <mergeCell ref="B24:E24"/>
    <mergeCell ref="D25:E25"/>
    <mergeCell ref="D74:E74"/>
    <mergeCell ref="D75:E75"/>
    <mergeCell ref="B47:E47"/>
    <mergeCell ref="D48:E48"/>
    <mergeCell ref="D72:E72"/>
    <mergeCell ref="D73:E73"/>
  </mergeCells>
  <conditionalFormatting sqref="B67:E67 B11:E11 E4:E10 B34:E34 B21:E21 B44:E44 E56 B57:E57">
    <cfRule type="cellIs" priority="1" dxfId="1" operator="equal" stopIfTrue="1">
      <formula>0</formula>
    </cfRule>
  </conditionalFormatting>
  <printOptions horizontalCentered="1"/>
  <pageMargins left="0.7874015748031497" right="0.7874015748031497" top="1.0236220472440944" bottom="0.984251968503937" header="0.3937007874015748" footer="0.5118110236220472"/>
  <pageSetup firstPageNumber="84" useFirstPageNumber="1" horizontalDpi="300" verticalDpi="300" orientation="portrait" paperSize="9" scale="95" r:id="rId1"/>
  <headerFooter alignWithMargins="0">
    <oddHeader>&amp;C&amp;"Times New Roman CE,Félkövér"&amp;16Európai uniós támogatással megvalósuló projektek
 bevételei, kiadásai, hozzájárulások&amp;R&amp;"Times New Roman CE,Normál"&amp;12 9.sz. melléklet</oddHeader>
    <oddFooter>&amp;C- &amp;P -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17" sqref="G17"/>
    </sheetView>
  </sheetViews>
  <sheetFormatPr defaultColWidth="8.00390625" defaultRowHeight="12.75"/>
  <cols>
    <col min="1" max="1" width="5.00390625" style="599" customWidth="1"/>
    <col min="2" max="2" width="47.00390625" style="585" customWidth="1"/>
    <col min="3" max="4" width="15.140625" style="585" customWidth="1"/>
    <col min="5" max="16384" width="8.00390625" style="585" customWidth="1"/>
  </cols>
  <sheetData>
    <row r="1" spans="1:4" s="572" customFormat="1" ht="15.75" thickBot="1">
      <c r="A1" s="571"/>
      <c r="D1" s="573" t="s">
        <v>1269</v>
      </c>
    </row>
    <row r="2" spans="1:4" s="577" customFormat="1" ht="48" customHeight="1" thickBot="1">
      <c r="A2" s="574" t="s">
        <v>1270</v>
      </c>
      <c r="B2" s="575" t="s">
        <v>1271</v>
      </c>
      <c r="C2" s="575" t="s">
        <v>1272</v>
      </c>
      <c r="D2" s="576" t="s">
        <v>1273</v>
      </c>
    </row>
    <row r="3" spans="1:4" s="577" customFormat="1" ht="13.5" customHeight="1" thickBot="1">
      <c r="A3" s="578">
        <v>1</v>
      </c>
      <c r="B3" s="579">
        <v>2</v>
      </c>
      <c r="C3" s="579">
        <v>3</v>
      </c>
      <c r="D3" s="580">
        <v>4</v>
      </c>
    </row>
    <row r="4" spans="1:4" ht="18" customHeight="1">
      <c r="A4" s="581" t="s">
        <v>14</v>
      </c>
      <c r="B4" s="582" t="s">
        <v>1274</v>
      </c>
      <c r="C4" s="583"/>
      <c r="D4" s="584"/>
    </row>
    <row r="5" spans="1:4" ht="18" customHeight="1">
      <c r="A5" s="586" t="s">
        <v>19</v>
      </c>
      <c r="B5" s="587" t="s">
        <v>1275</v>
      </c>
      <c r="C5" s="588"/>
      <c r="D5" s="589"/>
    </row>
    <row r="6" spans="1:4" ht="18" customHeight="1">
      <c r="A6" s="586" t="s">
        <v>22</v>
      </c>
      <c r="B6" s="587" t="s">
        <v>1276</v>
      </c>
      <c r="C6" s="588"/>
      <c r="D6" s="589"/>
    </row>
    <row r="7" spans="1:4" ht="18" customHeight="1">
      <c r="A7" s="586" t="s">
        <v>1156</v>
      </c>
      <c r="B7" s="587" t="s">
        <v>1277</v>
      </c>
      <c r="C7" s="588"/>
      <c r="D7" s="589"/>
    </row>
    <row r="8" spans="1:4" ht="18" customHeight="1">
      <c r="A8" s="586" t="s">
        <v>23</v>
      </c>
      <c r="B8" s="587" t="s">
        <v>1278</v>
      </c>
      <c r="C8" s="588"/>
      <c r="D8" s="589"/>
    </row>
    <row r="9" spans="1:4" ht="18" customHeight="1">
      <c r="A9" s="586" t="s">
        <v>26</v>
      </c>
      <c r="B9" s="587" t="s">
        <v>1279</v>
      </c>
      <c r="C9" s="588"/>
      <c r="D9" s="589"/>
    </row>
    <row r="10" spans="1:4" ht="18" customHeight="1">
      <c r="A10" s="586" t="s">
        <v>28</v>
      </c>
      <c r="B10" s="587" t="s">
        <v>1279</v>
      </c>
      <c r="C10" s="588"/>
      <c r="D10" s="589"/>
    </row>
    <row r="11" spans="1:4" ht="18" customHeight="1">
      <c r="A11" s="586" t="s">
        <v>540</v>
      </c>
      <c r="B11" s="587" t="s">
        <v>1280</v>
      </c>
      <c r="C11" s="588">
        <v>7498</v>
      </c>
      <c r="D11" s="589">
        <v>7498</v>
      </c>
    </row>
    <row r="12" spans="1:4" ht="18" customHeight="1">
      <c r="A12" s="586" t="s">
        <v>712</v>
      </c>
      <c r="B12" s="587" t="s">
        <v>1281</v>
      </c>
      <c r="C12" s="588"/>
      <c r="D12" s="589"/>
    </row>
    <row r="13" spans="1:4" ht="18" customHeight="1">
      <c r="A13" s="586" t="s">
        <v>713</v>
      </c>
      <c r="B13" s="587" t="s">
        <v>1282</v>
      </c>
      <c r="C13" s="588"/>
      <c r="D13" s="589"/>
    </row>
    <row r="14" spans="1:4" ht="18" customHeight="1">
      <c r="A14" s="586" t="s">
        <v>152</v>
      </c>
      <c r="B14" s="587" t="s">
        <v>1283</v>
      </c>
      <c r="C14" s="588"/>
      <c r="D14" s="589"/>
    </row>
    <row r="15" spans="1:4" ht="18" customHeight="1">
      <c r="A15" s="586" t="s">
        <v>548</v>
      </c>
      <c r="B15" s="587" t="s">
        <v>1284</v>
      </c>
      <c r="C15" s="588"/>
      <c r="D15" s="589"/>
    </row>
    <row r="16" spans="1:4" ht="18" customHeight="1">
      <c r="A16" s="586" t="s">
        <v>549</v>
      </c>
      <c r="B16" s="587"/>
      <c r="C16" s="588"/>
      <c r="D16" s="589"/>
    </row>
    <row r="17" spans="1:4" ht="18" customHeight="1">
      <c r="A17" s="586" t="s">
        <v>550</v>
      </c>
      <c r="B17" s="587"/>
      <c r="C17" s="588"/>
      <c r="D17" s="589"/>
    </row>
    <row r="18" spans="1:4" ht="18" customHeight="1">
      <c r="A18" s="586" t="s">
        <v>551</v>
      </c>
      <c r="B18" s="587"/>
      <c r="C18" s="588"/>
      <c r="D18" s="589"/>
    </row>
    <row r="19" spans="1:4" ht="18" customHeight="1">
      <c r="A19" s="586" t="s">
        <v>153</v>
      </c>
      <c r="B19" s="587"/>
      <c r="C19" s="588"/>
      <c r="D19" s="589"/>
    </row>
    <row r="20" spans="1:4" ht="18" customHeight="1">
      <c r="A20" s="586" t="s">
        <v>154</v>
      </c>
      <c r="B20" s="587"/>
      <c r="C20" s="588"/>
      <c r="D20" s="589"/>
    </row>
    <row r="21" spans="1:4" ht="18" customHeight="1">
      <c r="A21" s="586" t="s">
        <v>155</v>
      </c>
      <c r="B21" s="587"/>
      <c r="C21" s="588"/>
      <c r="D21" s="589"/>
    </row>
    <row r="22" spans="1:4" ht="18" customHeight="1">
      <c r="A22" s="586" t="s">
        <v>156</v>
      </c>
      <c r="B22" s="587"/>
      <c r="C22" s="588"/>
      <c r="D22" s="589"/>
    </row>
    <row r="23" spans="1:4" ht="18" customHeight="1">
      <c r="A23" s="586" t="s">
        <v>157</v>
      </c>
      <c r="B23" s="587"/>
      <c r="C23" s="588"/>
      <c r="D23" s="589"/>
    </row>
    <row r="24" spans="1:4" ht="18" customHeight="1">
      <c r="A24" s="586" t="s">
        <v>158</v>
      </c>
      <c r="B24" s="587"/>
      <c r="C24" s="588"/>
      <c r="D24" s="589"/>
    </row>
    <row r="25" spans="1:4" ht="18" customHeight="1">
      <c r="A25" s="586" t="s">
        <v>159</v>
      </c>
      <c r="B25" s="587"/>
      <c r="C25" s="588"/>
      <c r="D25" s="589"/>
    </row>
    <row r="26" spans="1:4" ht="18" customHeight="1">
      <c r="A26" s="586" t="s">
        <v>160</v>
      </c>
      <c r="B26" s="587"/>
      <c r="C26" s="588"/>
      <c r="D26" s="589"/>
    </row>
    <row r="27" spans="1:4" ht="18" customHeight="1">
      <c r="A27" s="586" t="s">
        <v>161</v>
      </c>
      <c r="B27" s="587"/>
      <c r="C27" s="588"/>
      <c r="D27" s="589"/>
    </row>
    <row r="28" spans="1:4" ht="18" customHeight="1">
      <c r="A28" s="586" t="s">
        <v>162</v>
      </c>
      <c r="B28" s="587"/>
      <c r="C28" s="588"/>
      <c r="D28" s="589"/>
    </row>
    <row r="29" spans="1:4" ht="18" customHeight="1" thickBot="1">
      <c r="A29" s="590" t="s">
        <v>163</v>
      </c>
      <c r="B29" s="591"/>
      <c r="C29" s="592"/>
      <c r="D29" s="593"/>
    </row>
    <row r="30" spans="1:4" ht="18" customHeight="1" thickBot="1">
      <c r="A30" s="594" t="s">
        <v>164</v>
      </c>
      <c r="B30" s="595" t="s">
        <v>1263</v>
      </c>
      <c r="C30" s="596">
        <f>SUM(C4:C29)</f>
        <v>7498</v>
      </c>
      <c r="D30" s="597">
        <f>SUM(D4:D29)</f>
        <v>7498</v>
      </c>
    </row>
    <row r="31" spans="1:4" ht="25.5" customHeight="1">
      <c r="A31" s="598" t="s">
        <v>1285</v>
      </c>
      <c r="B31" s="1171" t="s">
        <v>1286</v>
      </c>
      <c r="C31" s="1171"/>
      <c r="D31" s="1171"/>
    </row>
  </sheetData>
  <sheetProtection/>
  <mergeCells count="1">
    <mergeCell ref="B31:D31"/>
  </mergeCells>
  <printOptions horizontalCentered="1"/>
  <pageMargins left="0.7874015748031497" right="0.7874015748031497" top="1.3385826771653544" bottom="0.984251968503937" header="0.3937007874015748" footer="0.7874015748031497"/>
  <pageSetup firstPageNumber="86" useFirstPageNumber="1" horizontalDpi="300" verticalDpi="300" orientation="portrait" paperSize="9" r:id="rId1"/>
  <headerFooter alignWithMargins="0">
    <oddHeader>&amp;C&amp;"Times New Roman CE,Félkövér"&amp;14
&amp;12
Vecsés Város Önkormányzat által adott közvetett támogatások
(kedvezmények)
&amp;R&amp;"Times New Roman CE,Dőlt"&amp;11 &amp;"Times New Roman CE,Félkövér dőlt"10. sz. melléklet&amp;"Times New Roman CE,Dőlt"&amp;12
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S23" sqref="S23"/>
    </sheetView>
  </sheetViews>
  <sheetFormatPr defaultColWidth="8.00390625" defaultRowHeight="12.75"/>
  <cols>
    <col min="1" max="1" width="4.140625" style="603" customWidth="1"/>
    <col min="2" max="2" width="23.57421875" style="630" customWidth="1"/>
    <col min="3" max="4" width="7.7109375" style="630" customWidth="1"/>
    <col min="5" max="5" width="8.140625" style="630" customWidth="1"/>
    <col min="6" max="6" width="7.57421875" style="630" customWidth="1"/>
    <col min="7" max="7" width="7.421875" style="630" customWidth="1"/>
    <col min="8" max="8" width="7.57421875" style="630" customWidth="1"/>
    <col min="9" max="9" width="7.00390625" style="630" customWidth="1"/>
    <col min="10" max="14" width="8.140625" style="630" customWidth="1"/>
    <col min="15" max="15" width="10.8515625" style="603" customWidth="1"/>
    <col min="16" max="16384" width="8.00390625" style="630" customWidth="1"/>
  </cols>
  <sheetData>
    <row r="1" spans="1:15" s="603" customFormat="1" ht="25.5" customHeight="1" thickBot="1">
      <c r="A1" s="600" t="s">
        <v>1270</v>
      </c>
      <c r="B1" s="601" t="s">
        <v>612</v>
      </c>
      <c r="C1" s="601" t="s">
        <v>1287</v>
      </c>
      <c r="D1" s="601" t="s">
        <v>1288</v>
      </c>
      <c r="E1" s="601" t="s">
        <v>1289</v>
      </c>
      <c r="F1" s="601" t="s">
        <v>1290</v>
      </c>
      <c r="G1" s="601" t="s">
        <v>1291</v>
      </c>
      <c r="H1" s="601" t="s">
        <v>1292</v>
      </c>
      <c r="I1" s="601" t="s">
        <v>1293</v>
      </c>
      <c r="J1" s="601" t="s">
        <v>1294</v>
      </c>
      <c r="K1" s="601" t="s">
        <v>1295</v>
      </c>
      <c r="L1" s="601" t="s">
        <v>1296</v>
      </c>
      <c r="M1" s="601" t="s">
        <v>1297</v>
      </c>
      <c r="N1" s="601" t="s">
        <v>1298</v>
      </c>
      <c r="O1" s="602" t="s">
        <v>1263</v>
      </c>
    </row>
    <row r="2" spans="1:15" s="605" customFormat="1" ht="15" customHeight="1" thickBot="1">
      <c r="A2" s="604" t="s">
        <v>14</v>
      </c>
      <c r="B2" s="1172" t="s">
        <v>240</v>
      </c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4"/>
    </row>
    <row r="3" spans="1:15" s="605" customFormat="1" ht="15" customHeight="1">
      <c r="A3" s="606" t="s">
        <v>19</v>
      </c>
      <c r="B3" s="607" t="s">
        <v>1299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9">
        <f aca="true" t="shared" si="0" ref="O3:O13">SUM(C3:N3)</f>
        <v>0</v>
      </c>
    </row>
    <row r="4" spans="1:15" s="614" customFormat="1" ht="13.5" customHeight="1">
      <c r="A4" s="610" t="s">
        <v>22</v>
      </c>
      <c r="B4" s="611" t="s">
        <v>15</v>
      </c>
      <c r="C4" s="612">
        <v>157696</v>
      </c>
      <c r="D4" s="612">
        <v>127698</v>
      </c>
      <c r="E4" s="612">
        <v>315522</v>
      </c>
      <c r="F4" s="612">
        <v>200306</v>
      </c>
      <c r="G4" s="612">
        <v>200306</v>
      </c>
      <c r="H4" s="612">
        <v>200306</v>
      </c>
      <c r="I4" s="612">
        <v>110138</v>
      </c>
      <c r="J4" s="612">
        <v>110138</v>
      </c>
      <c r="K4" s="612">
        <v>320137</v>
      </c>
      <c r="L4" s="612">
        <v>180141</v>
      </c>
      <c r="M4" s="612">
        <v>120137</v>
      </c>
      <c r="N4" s="612">
        <v>240134</v>
      </c>
      <c r="O4" s="613">
        <f t="shared" si="0"/>
        <v>2282659</v>
      </c>
    </row>
    <row r="5" spans="1:15" s="614" customFormat="1" ht="13.5" customHeight="1">
      <c r="A5" s="610" t="s">
        <v>1156</v>
      </c>
      <c r="B5" s="615" t="s">
        <v>1300</v>
      </c>
      <c r="C5" s="616">
        <v>63691</v>
      </c>
      <c r="D5" s="616">
        <v>63691</v>
      </c>
      <c r="E5" s="616">
        <v>63694</v>
      </c>
      <c r="F5" s="616">
        <v>63693</v>
      </c>
      <c r="G5" s="616">
        <v>63693</v>
      </c>
      <c r="H5" s="616">
        <v>63693</v>
      </c>
      <c r="I5" s="616">
        <v>63691</v>
      </c>
      <c r="J5" s="616">
        <v>63691</v>
      </c>
      <c r="K5" s="616">
        <v>63694</v>
      </c>
      <c r="L5" s="616">
        <v>63692</v>
      </c>
      <c r="M5" s="616">
        <v>63692</v>
      </c>
      <c r="N5" s="616">
        <v>63693</v>
      </c>
      <c r="O5" s="617">
        <f t="shared" si="0"/>
        <v>764308</v>
      </c>
    </row>
    <row r="6" spans="1:15" s="614" customFormat="1" ht="13.5" customHeight="1">
      <c r="A6" s="610" t="s">
        <v>23</v>
      </c>
      <c r="B6" s="611" t="s">
        <v>1301</v>
      </c>
      <c r="C6" s="612">
        <v>29820</v>
      </c>
      <c r="D6" s="612">
        <v>29820</v>
      </c>
      <c r="E6" s="612">
        <v>29820</v>
      </c>
      <c r="F6" s="612">
        <v>29820</v>
      </c>
      <c r="G6" s="612">
        <v>29820</v>
      </c>
      <c r="H6" s="612">
        <v>29820</v>
      </c>
      <c r="I6" s="612">
        <v>29820</v>
      </c>
      <c r="J6" s="612">
        <v>29820</v>
      </c>
      <c r="K6" s="612">
        <v>29819</v>
      </c>
      <c r="L6" s="612">
        <v>29820</v>
      </c>
      <c r="M6" s="612">
        <v>29820</v>
      </c>
      <c r="N6" s="612">
        <v>29819</v>
      </c>
      <c r="O6" s="613">
        <f t="shared" si="0"/>
        <v>357838</v>
      </c>
    </row>
    <row r="7" spans="1:15" s="614" customFormat="1" ht="13.5" customHeight="1">
      <c r="A7" s="610" t="s">
        <v>24</v>
      </c>
      <c r="B7" s="611" t="s">
        <v>1302</v>
      </c>
      <c r="C7" s="612">
        <v>45244</v>
      </c>
      <c r="D7" s="612">
        <v>45244</v>
      </c>
      <c r="E7" s="612">
        <v>45244</v>
      </c>
      <c r="F7" s="612">
        <v>45244</v>
      </c>
      <c r="G7" s="612">
        <v>45244</v>
      </c>
      <c r="H7" s="612">
        <v>45244</v>
      </c>
      <c r="I7" s="612">
        <v>45245</v>
      </c>
      <c r="J7" s="612">
        <v>45245</v>
      </c>
      <c r="K7" s="612">
        <v>45245</v>
      </c>
      <c r="L7" s="612">
        <v>45245</v>
      </c>
      <c r="M7" s="612">
        <v>45245</v>
      </c>
      <c r="N7" s="612">
        <v>45245</v>
      </c>
      <c r="O7" s="613">
        <f t="shared" si="0"/>
        <v>542934</v>
      </c>
    </row>
    <row r="8" spans="1:15" s="614" customFormat="1" ht="13.5" customHeight="1">
      <c r="A8" s="610" t="s">
        <v>26</v>
      </c>
      <c r="B8" s="611" t="s">
        <v>1303</v>
      </c>
      <c r="C8" s="612">
        <v>0</v>
      </c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3">
        <f t="shared" si="0"/>
        <v>0</v>
      </c>
    </row>
    <row r="9" spans="1:15" s="614" customFormat="1" ht="13.5" customHeight="1">
      <c r="A9" s="610" t="s">
        <v>28</v>
      </c>
      <c r="B9" s="611" t="s">
        <v>494</v>
      </c>
      <c r="C9" s="612">
        <v>0</v>
      </c>
      <c r="D9" s="612"/>
      <c r="E9" s="612"/>
      <c r="F9" s="612">
        <v>200000</v>
      </c>
      <c r="G9" s="612"/>
      <c r="H9" s="612"/>
      <c r="I9" s="612"/>
      <c r="J9" s="612"/>
      <c r="K9" s="612"/>
      <c r="L9" s="612"/>
      <c r="M9" s="612"/>
      <c r="N9" s="612"/>
      <c r="O9" s="613">
        <f t="shared" si="0"/>
        <v>200000</v>
      </c>
    </row>
    <row r="10" spans="1:15" s="614" customFormat="1" ht="13.5" customHeight="1">
      <c r="A10" s="610" t="s">
        <v>711</v>
      </c>
      <c r="B10" s="611" t="s">
        <v>1304</v>
      </c>
      <c r="C10" s="612">
        <v>100000</v>
      </c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3">
        <f t="shared" si="0"/>
        <v>100000</v>
      </c>
    </row>
    <row r="11" spans="1:15" s="614" customFormat="1" ht="13.5" customHeight="1">
      <c r="A11" s="610" t="s">
        <v>540</v>
      </c>
      <c r="B11" s="611" t="s">
        <v>1305</v>
      </c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3">
        <f t="shared" si="0"/>
        <v>0</v>
      </c>
    </row>
    <row r="12" spans="1:15" s="614" customFormat="1" ht="13.5" customHeight="1" thickBot="1">
      <c r="A12" s="606" t="s">
        <v>712</v>
      </c>
      <c r="B12" s="618" t="s">
        <v>1306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20">
        <f t="shared" si="0"/>
        <v>0</v>
      </c>
    </row>
    <row r="13" spans="1:15" s="605" customFormat="1" ht="15.75" customHeight="1" thickBot="1">
      <c r="A13" s="604" t="s">
        <v>713</v>
      </c>
      <c r="B13" s="621" t="s">
        <v>248</v>
      </c>
      <c r="C13" s="622">
        <f aca="true" t="shared" si="1" ref="C13:N13">SUM(C3:C12)</f>
        <v>396451</v>
      </c>
      <c r="D13" s="622">
        <f t="shared" si="1"/>
        <v>266453</v>
      </c>
      <c r="E13" s="622">
        <f t="shared" si="1"/>
        <v>454280</v>
      </c>
      <c r="F13" s="622">
        <f t="shared" si="1"/>
        <v>539063</v>
      </c>
      <c r="G13" s="622">
        <f t="shared" si="1"/>
        <v>339063</v>
      </c>
      <c r="H13" s="622">
        <f t="shared" si="1"/>
        <v>339063</v>
      </c>
      <c r="I13" s="622">
        <f t="shared" si="1"/>
        <v>248894</v>
      </c>
      <c r="J13" s="622">
        <f t="shared" si="1"/>
        <v>248894</v>
      </c>
      <c r="K13" s="622">
        <f t="shared" si="1"/>
        <v>458895</v>
      </c>
      <c r="L13" s="622">
        <f t="shared" si="1"/>
        <v>318898</v>
      </c>
      <c r="M13" s="622">
        <f t="shared" si="1"/>
        <v>258894</v>
      </c>
      <c r="N13" s="622">
        <f t="shared" si="1"/>
        <v>378891</v>
      </c>
      <c r="O13" s="623">
        <f t="shared" si="0"/>
        <v>4247739</v>
      </c>
    </row>
    <row r="14" spans="1:15" s="605" customFormat="1" ht="15" customHeight="1" thickBot="1">
      <c r="A14" s="604" t="s">
        <v>152</v>
      </c>
      <c r="B14" s="1172" t="s">
        <v>250</v>
      </c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4"/>
    </row>
    <row r="15" spans="1:15" s="614" customFormat="1" ht="13.5" customHeight="1">
      <c r="A15" s="624" t="s">
        <v>548</v>
      </c>
      <c r="B15" s="615" t="s">
        <v>613</v>
      </c>
      <c r="C15" s="616">
        <v>109552</v>
      </c>
      <c r="D15" s="616">
        <v>109553</v>
      </c>
      <c r="E15" s="616">
        <v>109553</v>
      </c>
      <c r="F15" s="616">
        <v>109553</v>
      </c>
      <c r="G15" s="616">
        <v>109553</v>
      </c>
      <c r="H15" s="616">
        <v>109553</v>
      </c>
      <c r="I15" s="616">
        <v>109553</v>
      </c>
      <c r="J15" s="616">
        <v>109553</v>
      </c>
      <c r="K15" s="616">
        <v>109552</v>
      </c>
      <c r="L15" s="616">
        <v>109552</v>
      </c>
      <c r="M15" s="616">
        <v>109553</v>
      </c>
      <c r="N15" s="616">
        <v>109553</v>
      </c>
      <c r="O15" s="617">
        <f aca="true" t="shared" si="2" ref="O15:O26">SUM(C15:N15)</f>
        <v>1314633</v>
      </c>
    </row>
    <row r="16" spans="1:15" s="614" customFormat="1" ht="13.5" customHeight="1">
      <c r="A16" s="610" t="s">
        <v>549</v>
      </c>
      <c r="B16" s="611" t="s">
        <v>1307</v>
      </c>
      <c r="C16" s="612">
        <v>28599</v>
      </c>
      <c r="D16" s="612">
        <v>28599</v>
      </c>
      <c r="E16" s="612">
        <v>28599</v>
      </c>
      <c r="F16" s="612">
        <v>28599</v>
      </c>
      <c r="G16" s="612">
        <v>28600</v>
      </c>
      <c r="H16" s="612">
        <v>28599</v>
      </c>
      <c r="I16" s="612">
        <v>28599</v>
      </c>
      <c r="J16" s="612">
        <v>28599</v>
      </c>
      <c r="K16" s="612">
        <v>28599</v>
      </c>
      <c r="L16" s="612">
        <v>28599</v>
      </c>
      <c r="M16" s="612">
        <v>28600</v>
      </c>
      <c r="N16" s="612">
        <v>28599</v>
      </c>
      <c r="O16" s="613">
        <f t="shared" si="2"/>
        <v>343190</v>
      </c>
    </row>
    <row r="17" spans="1:15" s="614" customFormat="1" ht="13.5" customHeight="1">
      <c r="A17" s="610" t="s">
        <v>550</v>
      </c>
      <c r="B17" s="611" t="s">
        <v>1308</v>
      </c>
      <c r="C17" s="612">
        <v>110066</v>
      </c>
      <c r="D17" s="612">
        <v>110066</v>
      </c>
      <c r="E17" s="612">
        <v>110066</v>
      </c>
      <c r="F17" s="612">
        <v>110066</v>
      </c>
      <c r="G17" s="612">
        <v>110066</v>
      </c>
      <c r="H17" s="612">
        <v>110065</v>
      </c>
      <c r="I17" s="612">
        <v>110065</v>
      </c>
      <c r="J17" s="612">
        <v>110065</v>
      </c>
      <c r="K17" s="612">
        <v>110066</v>
      </c>
      <c r="L17" s="612">
        <v>110066</v>
      </c>
      <c r="M17" s="612">
        <v>110066</v>
      </c>
      <c r="N17" s="612">
        <v>110066</v>
      </c>
      <c r="O17" s="613">
        <f t="shared" si="2"/>
        <v>1320789</v>
      </c>
    </row>
    <row r="18" spans="1:15" s="614" customFormat="1" ht="13.5" customHeight="1">
      <c r="A18" s="610" t="s">
        <v>551</v>
      </c>
      <c r="B18" s="611" t="s">
        <v>1309</v>
      </c>
      <c r="C18" s="612">
        <v>5645</v>
      </c>
      <c r="D18" s="612">
        <v>5645</v>
      </c>
      <c r="E18" s="612">
        <v>5645</v>
      </c>
      <c r="F18" s="612">
        <v>5646</v>
      </c>
      <c r="G18" s="612">
        <v>5645</v>
      </c>
      <c r="H18" s="612">
        <v>5645</v>
      </c>
      <c r="I18" s="612">
        <v>5645</v>
      </c>
      <c r="J18" s="612">
        <v>5645</v>
      </c>
      <c r="K18" s="612">
        <v>5645</v>
      </c>
      <c r="L18" s="612">
        <v>5645</v>
      </c>
      <c r="M18" s="612">
        <v>5645</v>
      </c>
      <c r="N18" s="612">
        <v>5646</v>
      </c>
      <c r="O18" s="613">
        <f t="shared" si="2"/>
        <v>67742</v>
      </c>
    </row>
    <row r="19" spans="1:15" s="614" customFormat="1" ht="13.5" customHeight="1">
      <c r="A19" s="610" t="s">
        <v>153</v>
      </c>
      <c r="B19" s="611" t="s">
        <v>1310</v>
      </c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3">
        <f t="shared" si="2"/>
        <v>0</v>
      </c>
    </row>
    <row r="20" spans="1:15" s="614" customFormat="1" ht="13.5" customHeight="1">
      <c r="A20" s="610" t="s">
        <v>154</v>
      </c>
      <c r="B20" s="611" t="s">
        <v>553</v>
      </c>
      <c r="C20" s="612">
        <v>5801</v>
      </c>
      <c r="D20" s="612">
        <v>5801</v>
      </c>
      <c r="E20" s="612">
        <v>5801</v>
      </c>
      <c r="F20" s="612">
        <v>5801</v>
      </c>
      <c r="G20" s="612">
        <v>5801</v>
      </c>
      <c r="H20" s="612">
        <v>5801</v>
      </c>
      <c r="I20" s="612">
        <v>5801</v>
      </c>
      <c r="J20" s="612">
        <v>5801</v>
      </c>
      <c r="K20" s="612">
        <v>5801</v>
      </c>
      <c r="L20" s="612">
        <v>5801</v>
      </c>
      <c r="M20" s="612">
        <v>5801</v>
      </c>
      <c r="N20" s="612">
        <v>5801</v>
      </c>
      <c r="O20" s="613">
        <f t="shared" si="2"/>
        <v>69612</v>
      </c>
    </row>
    <row r="21" spans="1:15" s="614" customFormat="1" ht="13.5" customHeight="1">
      <c r="A21" s="610" t="s">
        <v>155</v>
      </c>
      <c r="B21" s="611" t="s">
        <v>1311</v>
      </c>
      <c r="C21" s="612">
        <v>3333</v>
      </c>
      <c r="D21" s="612">
        <v>3333</v>
      </c>
      <c r="E21" s="612">
        <v>3333</v>
      </c>
      <c r="F21" s="612">
        <v>3333</v>
      </c>
      <c r="G21" s="612">
        <v>3333</v>
      </c>
      <c r="H21" s="612">
        <v>3333</v>
      </c>
      <c r="I21" s="612">
        <v>3334</v>
      </c>
      <c r="J21" s="612">
        <v>3334</v>
      </c>
      <c r="K21" s="612">
        <v>3334</v>
      </c>
      <c r="L21" s="612">
        <v>3334</v>
      </c>
      <c r="M21" s="612">
        <v>3333</v>
      </c>
      <c r="N21" s="612">
        <v>3333</v>
      </c>
      <c r="O21" s="613">
        <f t="shared" si="2"/>
        <v>40000</v>
      </c>
    </row>
    <row r="22" spans="1:15" s="614" customFormat="1" ht="13.5" customHeight="1">
      <c r="A22" s="610" t="s">
        <v>156</v>
      </c>
      <c r="B22" s="611" t="s">
        <v>554</v>
      </c>
      <c r="C22" s="612">
        <v>9573</v>
      </c>
      <c r="D22" s="612">
        <v>9573</v>
      </c>
      <c r="E22" s="612">
        <v>9573</v>
      </c>
      <c r="F22" s="612">
        <v>9573</v>
      </c>
      <c r="G22" s="612">
        <v>9573</v>
      </c>
      <c r="H22" s="612">
        <v>9574</v>
      </c>
      <c r="I22" s="612">
        <v>9574</v>
      </c>
      <c r="J22" s="612">
        <v>9574</v>
      </c>
      <c r="K22" s="612">
        <v>9574</v>
      </c>
      <c r="L22" s="612">
        <v>9574</v>
      </c>
      <c r="M22" s="612">
        <v>9574</v>
      </c>
      <c r="N22" s="612">
        <v>9573</v>
      </c>
      <c r="O22" s="613">
        <f t="shared" si="2"/>
        <v>114882</v>
      </c>
    </row>
    <row r="23" spans="1:15" s="614" customFormat="1" ht="13.5" customHeight="1">
      <c r="A23" s="610" t="s">
        <v>157</v>
      </c>
      <c r="B23" s="611" t="s">
        <v>1312</v>
      </c>
      <c r="C23" s="612">
        <v>10895</v>
      </c>
      <c r="D23" s="612">
        <v>10895</v>
      </c>
      <c r="E23" s="612">
        <v>10896</v>
      </c>
      <c r="F23" s="612">
        <v>10896</v>
      </c>
      <c r="G23" s="612">
        <v>10896</v>
      </c>
      <c r="H23" s="612">
        <v>10896</v>
      </c>
      <c r="I23" s="612">
        <v>10896</v>
      </c>
      <c r="J23" s="612">
        <v>10896</v>
      </c>
      <c r="K23" s="612">
        <v>10896</v>
      </c>
      <c r="L23" s="612">
        <v>10896</v>
      </c>
      <c r="M23" s="612">
        <v>10896</v>
      </c>
      <c r="N23" s="612">
        <v>10896</v>
      </c>
      <c r="O23" s="613">
        <f t="shared" si="2"/>
        <v>130750</v>
      </c>
    </row>
    <row r="24" spans="1:15" s="614" customFormat="1" ht="13.5" customHeight="1">
      <c r="A24" s="610" t="s">
        <v>158</v>
      </c>
      <c r="B24" s="611" t="s">
        <v>545</v>
      </c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3">
        <f t="shared" si="2"/>
        <v>0</v>
      </c>
    </row>
    <row r="25" spans="1:15" s="614" customFormat="1" ht="13.5" customHeight="1" thickBot="1">
      <c r="A25" s="610" t="s">
        <v>159</v>
      </c>
      <c r="B25" s="611" t="s">
        <v>1313</v>
      </c>
      <c r="C25" s="612">
        <v>70511</v>
      </c>
      <c r="D25" s="612">
        <v>70511</v>
      </c>
      <c r="E25" s="612">
        <v>70511</v>
      </c>
      <c r="F25" s="612">
        <v>70512</v>
      </c>
      <c r="G25" s="612">
        <v>70512</v>
      </c>
      <c r="H25" s="612">
        <v>70512</v>
      </c>
      <c r="I25" s="612">
        <v>70512</v>
      </c>
      <c r="J25" s="612">
        <v>70512</v>
      </c>
      <c r="K25" s="612">
        <v>70512</v>
      </c>
      <c r="L25" s="612">
        <v>70512</v>
      </c>
      <c r="M25" s="612">
        <v>70512</v>
      </c>
      <c r="N25" s="612">
        <v>70512</v>
      </c>
      <c r="O25" s="613">
        <f t="shared" si="2"/>
        <v>846141</v>
      </c>
    </row>
    <row r="26" spans="1:15" s="605" customFormat="1" ht="15.75" customHeight="1" thickBot="1">
      <c r="A26" s="625" t="s">
        <v>160</v>
      </c>
      <c r="B26" s="621" t="s">
        <v>261</v>
      </c>
      <c r="C26" s="622">
        <f aca="true" t="shared" si="3" ref="C26:N26">SUM(C15:C25)</f>
        <v>353975</v>
      </c>
      <c r="D26" s="622">
        <f t="shared" si="3"/>
        <v>353976</v>
      </c>
      <c r="E26" s="622">
        <f t="shared" si="3"/>
        <v>353977</v>
      </c>
      <c r="F26" s="622">
        <f t="shared" si="3"/>
        <v>353979</v>
      </c>
      <c r="G26" s="622">
        <f t="shared" si="3"/>
        <v>353979</v>
      </c>
      <c r="H26" s="622">
        <f t="shared" si="3"/>
        <v>353978</v>
      </c>
      <c r="I26" s="622">
        <f t="shared" si="3"/>
        <v>353979</v>
      </c>
      <c r="J26" s="622">
        <f t="shared" si="3"/>
        <v>353979</v>
      </c>
      <c r="K26" s="622">
        <f t="shared" si="3"/>
        <v>353979</v>
      </c>
      <c r="L26" s="622">
        <f t="shared" si="3"/>
        <v>353979</v>
      </c>
      <c r="M26" s="622">
        <f t="shared" si="3"/>
        <v>353980</v>
      </c>
      <c r="N26" s="622">
        <f t="shared" si="3"/>
        <v>353979</v>
      </c>
      <c r="O26" s="623">
        <f t="shared" si="2"/>
        <v>4247739</v>
      </c>
    </row>
    <row r="27" spans="1:15" ht="16.5" thickBot="1">
      <c r="A27" s="626" t="s">
        <v>161</v>
      </c>
      <c r="B27" s="627" t="s">
        <v>616</v>
      </c>
      <c r="C27" s="628">
        <f aca="true" t="shared" si="4" ref="C27:O27">C13-C26</f>
        <v>42476</v>
      </c>
      <c r="D27" s="628">
        <f t="shared" si="4"/>
        <v>-87523</v>
      </c>
      <c r="E27" s="628">
        <f t="shared" si="4"/>
        <v>100303</v>
      </c>
      <c r="F27" s="628">
        <f t="shared" si="4"/>
        <v>185084</v>
      </c>
      <c r="G27" s="628">
        <f t="shared" si="4"/>
        <v>-14916</v>
      </c>
      <c r="H27" s="628">
        <f t="shared" si="4"/>
        <v>-14915</v>
      </c>
      <c r="I27" s="628">
        <f t="shared" si="4"/>
        <v>-105085</v>
      </c>
      <c r="J27" s="628">
        <f t="shared" si="4"/>
        <v>-105085</v>
      </c>
      <c r="K27" s="628">
        <f t="shared" si="4"/>
        <v>104916</v>
      </c>
      <c r="L27" s="628">
        <f t="shared" si="4"/>
        <v>-35081</v>
      </c>
      <c r="M27" s="628">
        <f t="shared" si="4"/>
        <v>-95086</v>
      </c>
      <c r="N27" s="628">
        <f t="shared" si="4"/>
        <v>24912</v>
      </c>
      <c r="O27" s="629">
        <f t="shared" si="4"/>
        <v>0</v>
      </c>
    </row>
    <row r="28" ht="15.75">
      <c r="A28" s="631"/>
    </row>
    <row r="29" spans="2:4" ht="15.75">
      <c r="B29" s="632"/>
      <c r="C29" s="633"/>
      <c r="D29" s="633"/>
    </row>
  </sheetData>
  <sheetProtection sheet="1" objects="1" scenarios="1"/>
  <mergeCells count="2">
    <mergeCell ref="B2:O2"/>
    <mergeCell ref="B14:O14"/>
  </mergeCells>
  <printOptions horizontalCentered="1"/>
  <pageMargins left="0.1968503937007874" right="0" top="1.1811023622047245" bottom="0.984251968503937" header="0.7874015748031497" footer="0.7874015748031497"/>
  <pageSetup firstPageNumber="87" useFirstPageNumber="1" horizontalDpi="600" verticalDpi="600" orientation="landscape" paperSize="9" scale="110" r:id="rId1"/>
  <headerFooter alignWithMargins="0">
    <oddHeader>&amp;C&amp;"Times New Roman CE,Félkövér"&amp;12Vecsés Város Önkormányzat 2011. évi előirányzat-felhasználási ütemterve
&amp;R&amp;"Times New Roman CE,Félkövér dőlt"&amp;11 11. sz. melléklet&amp;"Times New Roman CE,Normál"&amp;10
&amp;"Times New Roman CE,Félkövér dőlt"Ezer forintban !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F19" sqref="F19"/>
    </sheetView>
  </sheetViews>
  <sheetFormatPr defaultColWidth="8.00390625" defaultRowHeight="12.75"/>
  <cols>
    <col min="1" max="1" width="5.8515625" style="461" customWidth="1"/>
    <col min="2" max="2" width="42.57421875" style="462" customWidth="1"/>
    <col min="3" max="4" width="12.421875" style="462" customWidth="1"/>
    <col min="5" max="5" width="14.140625" style="462" customWidth="1"/>
    <col min="6" max="7" width="13.28125" style="462" customWidth="1"/>
    <col min="8" max="8" width="14.421875" style="462" customWidth="1"/>
    <col min="9" max="16384" width="8.00390625" style="462" customWidth="1"/>
  </cols>
  <sheetData>
    <row r="1" spans="1:8" s="572" customFormat="1" ht="15.75" thickBot="1">
      <c r="A1" s="571"/>
      <c r="H1" s="573" t="s">
        <v>1314</v>
      </c>
    </row>
    <row r="2" spans="1:8" s="464" customFormat="1" ht="26.25" customHeight="1">
      <c r="A2" s="1156" t="s">
        <v>1222</v>
      </c>
      <c r="B2" s="1158" t="s">
        <v>1315</v>
      </c>
      <c r="C2" s="1156" t="s">
        <v>1316</v>
      </c>
      <c r="D2" s="1156" t="s">
        <v>1317</v>
      </c>
      <c r="E2" s="634" t="s">
        <v>1318</v>
      </c>
      <c r="F2" s="635"/>
      <c r="G2" s="635"/>
      <c r="H2" s="636"/>
    </row>
    <row r="3" spans="1:8" s="467" customFormat="1" ht="32.25" customHeight="1" thickBot="1">
      <c r="A3" s="1157"/>
      <c r="B3" s="1159"/>
      <c r="C3" s="1159"/>
      <c r="D3" s="1157"/>
      <c r="E3" s="465" t="s">
        <v>1227</v>
      </c>
      <c r="F3" s="465" t="s">
        <v>1228</v>
      </c>
      <c r="G3" s="465" t="s">
        <v>1141</v>
      </c>
      <c r="H3" s="466" t="s">
        <v>1143</v>
      </c>
    </row>
    <row r="4" spans="1:8" s="473" customFormat="1" ht="18.75" customHeight="1" thickBot="1">
      <c r="A4" s="468">
        <v>1</v>
      </c>
      <c r="B4" s="469">
        <v>2</v>
      </c>
      <c r="C4" s="469">
        <v>3</v>
      </c>
      <c r="D4" s="470">
        <v>4</v>
      </c>
      <c r="E4" s="468">
        <v>5</v>
      </c>
      <c r="F4" s="470">
        <v>6</v>
      </c>
      <c r="G4" s="470">
        <v>7</v>
      </c>
      <c r="H4" s="471">
        <v>8</v>
      </c>
    </row>
    <row r="5" spans="1:8" s="482" customFormat="1" ht="19.5" customHeight="1" thickBot="1">
      <c r="A5" s="474" t="s">
        <v>14</v>
      </c>
      <c r="B5" s="475" t="s">
        <v>1319</v>
      </c>
      <c r="C5" s="637"/>
      <c r="D5" s="638"/>
      <c r="E5" s="639">
        <f>SUM(E6:E9)</f>
        <v>0</v>
      </c>
      <c r="F5" s="640">
        <f>SUM(F6:F9)</f>
        <v>0</v>
      </c>
      <c r="G5" s="640">
        <f>SUM(G6:G9)</f>
        <v>0</v>
      </c>
      <c r="H5" s="641">
        <f>SUM(H6:H9)</f>
        <v>0</v>
      </c>
    </row>
    <row r="6" spans="1:8" s="482" customFormat="1" ht="19.5" customHeight="1">
      <c r="A6" s="483" t="s">
        <v>19</v>
      </c>
      <c r="B6" s="484"/>
      <c r="C6" s="642"/>
      <c r="D6" s="485"/>
      <c r="E6" s="643">
        <v>0</v>
      </c>
      <c r="F6" s="487"/>
      <c r="G6" s="487"/>
      <c r="H6" s="489"/>
    </row>
    <row r="7" spans="1:8" s="482" customFormat="1" ht="19.5" customHeight="1">
      <c r="A7" s="483" t="s">
        <v>22</v>
      </c>
      <c r="B7" s="484"/>
      <c r="C7" s="642"/>
      <c r="D7" s="485"/>
      <c r="E7" s="643"/>
      <c r="F7" s="487"/>
      <c r="G7" s="487"/>
      <c r="H7" s="489"/>
    </row>
    <row r="8" spans="1:8" s="482" customFormat="1" ht="19.5" customHeight="1">
      <c r="A8" s="483" t="s">
        <v>1156</v>
      </c>
      <c r="B8" s="484"/>
      <c r="C8" s="642"/>
      <c r="D8" s="485"/>
      <c r="E8" s="643"/>
      <c r="F8" s="487"/>
      <c r="G8" s="487"/>
      <c r="H8" s="489"/>
    </row>
    <row r="9" spans="1:8" s="482" customFormat="1" ht="19.5" customHeight="1" thickBot="1">
      <c r="A9" s="483" t="s">
        <v>23</v>
      </c>
      <c r="B9" s="484"/>
      <c r="C9" s="642"/>
      <c r="D9" s="485"/>
      <c r="E9" s="643"/>
      <c r="F9" s="487"/>
      <c r="G9" s="487"/>
      <c r="H9" s="489"/>
    </row>
    <row r="10" spans="1:8" s="482" customFormat="1" ht="19.5" customHeight="1" thickBot="1">
      <c r="A10" s="474" t="s">
        <v>24</v>
      </c>
      <c r="B10" s="475" t="s">
        <v>1320</v>
      </c>
      <c r="C10" s="637"/>
      <c r="D10" s="638"/>
      <c r="E10" s="639">
        <f>SUM(E11:E18)</f>
        <v>1663145</v>
      </c>
      <c r="F10" s="639">
        <f>SUM(F11:F18)</f>
        <v>1585821</v>
      </c>
      <c r="G10" s="639">
        <f>SUM(G11:G18)</f>
        <v>1513562</v>
      </c>
      <c r="H10" s="639">
        <f>SUM(H11:H18)</f>
        <v>1492293</v>
      </c>
    </row>
    <row r="11" spans="1:8" s="482" customFormat="1" ht="39.75" customHeight="1">
      <c r="A11" s="483" t="s">
        <v>26</v>
      </c>
      <c r="B11" s="484" t="s">
        <v>1144</v>
      </c>
      <c r="C11" s="642">
        <v>2010</v>
      </c>
      <c r="D11" s="485">
        <v>2030</v>
      </c>
      <c r="E11" s="643">
        <v>200000</v>
      </c>
      <c r="F11" s="487">
        <v>200000</v>
      </c>
      <c r="G11" s="487">
        <v>200000</v>
      </c>
      <c r="H11" s="489">
        <v>200000</v>
      </c>
    </row>
    <row r="12" spans="1:8" s="482" customFormat="1" ht="40.5" customHeight="1">
      <c r="A12" s="483" t="s">
        <v>28</v>
      </c>
      <c r="B12" s="484" t="s">
        <v>1321</v>
      </c>
      <c r="C12" s="642">
        <v>2005</v>
      </c>
      <c r="D12" s="485">
        <v>2011</v>
      </c>
      <c r="E12" s="643">
        <v>5140</v>
      </c>
      <c r="F12" s="487"/>
      <c r="G12" s="487"/>
      <c r="H12" s="489"/>
    </row>
    <row r="13" spans="1:8" s="482" customFormat="1" ht="19.5" customHeight="1">
      <c r="A13" s="483" t="s">
        <v>711</v>
      </c>
      <c r="B13" s="484"/>
      <c r="C13" s="642"/>
      <c r="D13" s="485"/>
      <c r="E13" s="643"/>
      <c r="F13" s="487"/>
      <c r="G13" s="487"/>
      <c r="H13" s="489"/>
    </row>
    <row r="14" spans="1:8" s="482" customFormat="1" ht="19.5" customHeight="1">
      <c r="A14" s="483" t="s">
        <v>540</v>
      </c>
      <c r="B14" s="484" t="s">
        <v>1322</v>
      </c>
      <c r="C14" s="642">
        <v>2007</v>
      </c>
      <c r="D14" s="485">
        <v>2027</v>
      </c>
      <c r="E14" s="643">
        <v>450584</v>
      </c>
      <c r="F14" s="487">
        <v>450584</v>
      </c>
      <c r="G14" s="643">
        <v>450584</v>
      </c>
      <c r="H14" s="487">
        <v>450584</v>
      </c>
    </row>
    <row r="15" spans="1:8" s="482" customFormat="1" ht="19.5" customHeight="1" thickBot="1">
      <c r="A15" s="644" t="s">
        <v>712</v>
      </c>
      <c r="B15" s="484" t="s">
        <v>1323</v>
      </c>
      <c r="C15" s="642">
        <v>2008</v>
      </c>
      <c r="D15" s="485">
        <v>2027</v>
      </c>
      <c r="E15" s="643">
        <v>913850</v>
      </c>
      <c r="F15" s="487">
        <v>848414</v>
      </c>
      <c r="G15" s="487">
        <v>782978</v>
      </c>
      <c r="H15" s="489">
        <v>766709</v>
      </c>
    </row>
    <row r="16" spans="1:8" s="482" customFormat="1" ht="30.75" customHeight="1" thickBot="1">
      <c r="A16" s="645" t="s">
        <v>713</v>
      </c>
      <c r="B16" s="484" t="s">
        <v>1236</v>
      </c>
      <c r="C16" s="642" t="s">
        <v>1324</v>
      </c>
      <c r="D16" s="485">
        <v>2028</v>
      </c>
      <c r="E16" s="643">
        <v>90000</v>
      </c>
      <c r="F16" s="487">
        <v>85000</v>
      </c>
      <c r="G16" s="487">
        <v>80000</v>
      </c>
      <c r="H16" s="489">
        <v>75000</v>
      </c>
    </row>
    <row r="17" spans="1:8" s="482" customFormat="1" ht="19.5" customHeight="1" thickBot="1">
      <c r="A17" s="645" t="s">
        <v>152</v>
      </c>
      <c r="B17" s="484"/>
      <c r="C17" s="642"/>
      <c r="D17" s="485"/>
      <c r="E17" s="643"/>
      <c r="F17" s="487"/>
      <c r="G17" s="487"/>
      <c r="H17" s="489"/>
    </row>
    <row r="18" spans="1:8" s="482" customFormat="1" ht="19.5" customHeight="1" thickBot="1">
      <c r="A18" s="645" t="s">
        <v>548</v>
      </c>
      <c r="B18" s="484" t="s">
        <v>1240</v>
      </c>
      <c r="C18" s="642">
        <v>2003</v>
      </c>
      <c r="D18" s="485">
        <v>2012</v>
      </c>
      <c r="E18" s="643">
        <v>3571</v>
      </c>
      <c r="F18" s="646">
        <v>1823</v>
      </c>
      <c r="G18" s="646"/>
      <c r="H18" s="647"/>
    </row>
    <row r="19" spans="1:8" s="655" customFormat="1" ht="19.5" customHeight="1" thickBot="1">
      <c r="A19" s="648" t="s">
        <v>549</v>
      </c>
      <c r="B19" s="649" t="s">
        <v>1325</v>
      </c>
      <c r="C19" s="650"/>
      <c r="D19" s="651"/>
      <c r="E19" s="652">
        <f>E5+E10</f>
        <v>1663145</v>
      </c>
      <c r="F19" s="653">
        <f>F5+F10</f>
        <v>1585821</v>
      </c>
      <c r="G19" s="653">
        <f>G5+G10</f>
        <v>1513562</v>
      </c>
      <c r="H19" s="654">
        <f>H5+H10</f>
        <v>1492293</v>
      </c>
    </row>
    <row r="20" ht="19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7874015748031497" right="0.7874015748031497" top="1.3779527559055118" bottom="0.984251968503937" header="0.7874015748031497" footer="0.7874015748031497"/>
  <pageSetup firstPageNumber="88" useFirstPageNumber="1" horizontalDpi="300" verticalDpi="300" orientation="landscape" paperSize="9" scale="95" r:id="rId1"/>
  <headerFooter alignWithMargins="0">
    <oddHeader>&amp;C&amp;"Times New Roman CE,Félkövér"&amp;12Vecsés Város Önkormányzat által nyújtott hitel és kölcsön alakulása
 lejárat és eszközök szerinti bontásban&amp;R&amp;"Times New Roman CE,Félkövér dőlt"&amp;11 12.számú melléklet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83"/>
  <sheetViews>
    <sheetView zoomScale="120" zoomScaleNormal="120" zoomScaleSheetLayoutView="75" zoomScalePageLayoutView="0" workbookViewId="0" topLeftCell="A54">
      <selection activeCell="E70" sqref="E70"/>
    </sheetView>
  </sheetViews>
  <sheetFormatPr defaultColWidth="9.140625" defaultRowHeight="12.75"/>
  <cols>
    <col min="1" max="1" width="2.140625" style="355" customWidth="1"/>
    <col min="2" max="2" width="3.57421875" style="391" customWidth="1"/>
    <col min="3" max="3" width="7.140625" style="391" customWidth="1"/>
    <col min="4" max="4" width="53.140625" style="355" customWidth="1"/>
    <col min="5" max="7" width="12.7109375" style="355" customWidth="1"/>
    <col min="8" max="12" width="9.140625" style="355" hidden="1" customWidth="1"/>
    <col min="13" max="14" width="0" style="355" hidden="1" customWidth="1"/>
    <col min="15" max="16384" width="9.140625" style="355" customWidth="1"/>
  </cols>
  <sheetData>
    <row r="1" spans="1:13" ht="48" customHeight="1">
      <c r="A1" s="1181" t="s">
        <v>9</v>
      </c>
      <c r="B1" s="1181"/>
      <c r="C1" s="1181"/>
      <c r="D1" s="656" t="s">
        <v>10</v>
      </c>
      <c r="E1" s="657" t="s">
        <v>1133</v>
      </c>
      <c r="F1" s="657" t="s">
        <v>1326</v>
      </c>
      <c r="G1" s="657" t="s">
        <v>1137</v>
      </c>
      <c r="M1" s="658" t="s">
        <v>12</v>
      </c>
    </row>
    <row r="2" spans="1:13" ht="16.5">
      <c r="A2" s="1182" t="s">
        <v>491</v>
      </c>
      <c r="B2" s="1183"/>
      <c r="C2" s="1183"/>
      <c r="D2" s="1184"/>
      <c r="E2" s="660"/>
      <c r="F2" s="660"/>
      <c r="G2" s="660"/>
      <c r="M2" s="660"/>
    </row>
    <row r="3" spans="1:13" ht="16.5">
      <c r="A3" s="1178" t="s">
        <v>488</v>
      </c>
      <c r="B3" s="1179"/>
      <c r="C3" s="1179"/>
      <c r="D3" s="1180"/>
      <c r="E3" s="662"/>
      <c r="F3" s="662"/>
      <c r="G3" s="662"/>
      <c r="M3" s="662"/>
    </row>
    <row r="4" spans="1:13" ht="16.5">
      <c r="A4" s="663"/>
      <c r="B4" s="664" t="s">
        <v>16</v>
      </c>
      <c r="C4" s="665"/>
      <c r="D4" s="666" t="s">
        <v>48</v>
      </c>
      <c r="E4" s="667">
        <v>308920</v>
      </c>
      <c r="F4" s="667">
        <f>SUM(E4)*1.033</f>
        <v>319114.36</v>
      </c>
      <c r="G4" s="667">
        <f>SUM(F4*1.15)</f>
        <v>366981.51399999997</v>
      </c>
      <c r="M4" s="667" t="e">
        <f>#REF!/#REF!*100</f>
        <v>#REF!</v>
      </c>
    </row>
    <row r="5" spans="1:13" s="668" customFormat="1" ht="16.5">
      <c r="A5" s="663"/>
      <c r="B5" s="664" t="s">
        <v>17</v>
      </c>
      <c r="C5" s="665"/>
      <c r="D5" s="666" t="s">
        <v>18</v>
      </c>
      <c r="E5" s="667">
        <v>1973739</v>
      </c>
      <c r="F5" s="667">
        <f aca="true" t="shared" si="0" ref="F5:F68">SUM(E5)*1.033</f>
        <v>2038872.3869999999</v>
      </c>
      <c r="G5" s="667">
        <f aca="true" t="shared" si="1" ref="G5:G68">SUM(F5*1.15)</f>
        <v>2344703.2450499996</v>
      </c>
      <c r="M5" s="667" t="e">
        <f>#REF!/#REF!*100</f>
        <v>#REF!</v>
      </c>
    </row>
    <row r="6" spans="1:13" s="668" customFormat="1" ht="16.5">
      <c r="A6" s="663"/>
      <c r="B6" s="664" t="s">
        <v>36</v>
      </c>
      <c r="C6" s="665"/>
      <c r="D6" s="666" t="s">
        <v>21</v>
      </c>
      <c r="E6" s="667">
        <v>764308</v>
      </c>
      <c r="F6" s="667">
        <f t="shared" si="0"/>
        <v>789530.164</v>
      </c>
      <c r="G6" s="667">
        <f t="shared" si="1"/>
        <v>907959.6885999999</v>
      </c>
      <c r="M6" s="667" t="e">
        <f>#REF!/#REF!*100</f>
        <v>#REF!</v>
      </c>
    </row>
    <row r="7" spans="1:13" s="668" customFormat="1" ht="16.5">
      <c r="A7" s="663"/>
      <c r="B7" s="664" t="s">
        <v>37</v>
      </c>
      <c r="C7" s="665"/>
      <c r="D7" s="666" t="s">
        <v>619</v>
      </c>
      <c r="E7" s="667">
        <v>542934</v>
      </c>
      <c r="F7" s="667">
        <f t="shared" si="0"/>
        <v>560850.8219999999</v>
      </c>
      <c r="G7" s="667">
        <f t="shared" si="1"/>
        <v>644978.4452999999</v>
      </c>
      <c r="M7" s="667" t="e">
        <f>#REF!/#REF!*100</f>
        <v>#REF!</v>
      </c>
    </row>
    <row r="8" spans="1:13" s="668" customFormat="1" ht="16.5">
      <c r="A8" s="663"/>
      <c r="B8" s="664" t="s">
        <v>38</v>
      </c>
      <c r="C8" s="665"/>
      <c r="D8" s="666" t="s">
        <v>1327</v>
      </c>
      <c r="E8" s="667">
        <v>0</v>
      </c>
      <c r="F8" s="667">
        <f t="shared" si="0"/>
        <v>0</v>
      </c>
      <c r="G8" s="667">
        <f t="shared" si="1"/>
        <v>0</v>
      </c>
      <c r="M8" s="667"/>
    </row>
    <row r="9" spans="1:13" s="668" customFormat="1" ht="16.5">
      <c r="A9" s="663"/>
      <c r="B9" s="664" t="s">
        <v>39</v>
      </c>
      <c r="C9" s="665"/>
      <c r="D9" s="666" t="s">
        <v>142</v>
      </c>
      <c r="E9" s="667">
        <v>0</v>
      </c>
      <c r="F9" s="667">
        <f t="shared" si="0"/>
        <v>0</v>
      </c>
      <c r="G9" s="667">
        <f t="shared" si="1"/>
        <v>0</v>
      </c>
      <c r="M9" s="667"/>
    </row>
    <row r="10" spans="1:13" ht="19.5" customHeight="1">
      <c r="A10" s="1175" t="s">
        <v>642</v>
      </c>
      <c r="B10" s="1176"/>
      <c r="C10" s="1176"/>
      <c r="D10" s="1177"/>
      <c r="E10" s="669">
        <v>3589901</v>
      </c>
      <c r="F10" s="669">
        <f t="shared" si="0"/>
        <v>3708367.7329999995</v>
      </c>
      <c r="G10" s="669">
        <f t="shared" si="1"/>
        <v>4264622.892949999</v>
      </c>
      <c r="M10" s="669" t="e">
        <f>#REF!/#REF!*100</f>
        <v>#REF!</v>
      </c>
    </row>
    <row r="11" spans="1:13" s="668" customFormat="1" ht="16.5">
      <c r="A11" s="663"/>
      <c r="B11" s="664" t="s">
        <v>714</v>
      </c>
      <c r="C11" s="665"/>
      <c r="D11" s="666" t="s">
        <v>635</v>
      </c>
      <c r="E11" s="667">
        <v>0</v>
      </c>
      <c r="F11" s="667">
        <f t="shared" si="0"/>
        <v>0</v>
      </c>
      <c r="G11" s="667">
        <f t="shared" si="1"/>
        <v>0</v>
      </c>
      <c r="M11" s="667" t="e">
        <f>#REF!/#REF!*100</f>
        <v>#REF!</v>
      </c>
    </row>
    <row r="12" spans="1:13" ht="19.5" customHeight="1">
      <c r="A12" s="1175" t="s">
        <v>643</v>
      </c>
      <c r="B12" s="1176" t="s">
        <v>715</v>
      </c>
      <c r="C12" s="1176"/>
      <c r="D12" s="1177" t="s">
        <v>636</v>
      </c>
      <c r="E12" s="669">
        <v>0</v>
      </c>
      <c r="F12" s="669">
        <f t="shared" si="0"/>
        <v>0</v>
      </c>
      <c r="G12" s="669">
        <f t="shared" si="1"/>
        <v>0</v>
      </c>
      <c r="M12" s="669" t="e">
        <f>#REF!/#REF!*100</f>
        <v>#REF!</v>
      </c>
    </row>
    <row r="13" spans="1:13" ht="19.5" customHeight="1">
      <c r="A13" s="1175" t="s">
        <v>644</v>
      </c>
      <c r="B13" s="1176"/>
      <c r="C13" s="1176"/>
      <c r="D13" s="1177"/>
      <c r="E13" s="669">
        <v>3589901</v>
      </c>
      <c r="F13" s="669">
        <f t="shared" si="0"/>
        <v>3708367.7329999995</v>
      </c>
      <c r="G13" s="669">
        <f t="shared" si="1"/>
        <v>4264622.892949999</v>
      </c>
      <c r="M13" s="669" t="e">
        <f>#REF!/#REF!*100</f>
        <v>#REF!</v>
      </c>
    </row>
    <row r="14" spans="1:13" s="668" customFormat="1" ht="16.5">
      <c r="A14" s="663"/>
      <c r="B14" s="664" t="s">
        <v>717</v>
      </c>
      <c r="C14" s="665"/>
      <c r="D14" s="666" t="s">
        <v>25</v>
      </c>
      <c r="E14" s="667">
        <v>0</v>
      </c>
      <c r="F14" s="667">
        <f t="shared" si="0"/>
        <v>0</v>
      </c>
      <c r="G14" s="667">
        <f t="shared" si="1"/>
        <v>0</v>
      </c>
      <c r="M14" s="667"/>
    </row>
    <row r="15" spans="1:13" s="668" customFormat="1" ht="16.5">
      <c r="A15" s="663"/>
      <c r="B15" s="664" t="s">
        <v>718</v>
      </c>
      <c r="C15" s="665"/>
      <c r="D15" s="666" t="s">
        <v>639</v>
      </c>
      <c r="E15" s="667">
        <v>0</v>
      </c>
      <c r="F15" s="667">
        <f t="shared" si="0"/>
        <v>0</v>
      </c>
      <c r="G15" s="667">
        <f t="shared" si="1"/>
        <v>0</v>
      </c>
      <c r="M15" s="667"/>
    </row>
    <row r="16" spans="1:13" ht="19.5" customHeight="1">
      <c r="A16" s="1175" t="s">
        <v>645</v>
      </c>
      <c r="B16" s="1176"/>
      <c r="C16" s="1176"/>
      <c r="D16" s="1177"/>
      <c r="E16" s="669">
        <v>0</v>
      </c>
      <c r="F16" s="669">
        <f t="shared" si="0"/>
        <v>0</v>
      </c>
      <c r="G16" s="669">
        <f t="shared" si="1"/>
        <v>0</v>
      </c>
      <c r="M16" s="669"/>
    </row>
    <row r="17" spans="1:13" ht="19.5" customHeight="1">
      <c r="A17" s="1178" t="s">
        <v>459</v>
      </c>
      <c r="B17" s="1179"/>
      <c r="C17" s="1179"/>
      <c r="D17" s="1180"/>
      <c r="E17" s="661">
        <v>3589901</v>
      </c>
      <c r="F17" s="661">
        <f t="shared" si="0"/>
        <v>3708367.7329999995</v>
      </c>
      <c r="G17" s="661">
        <f t="shared" si="1"/>
        <v>4264622.892949999</v>
      </c>
      <c r="H17" s="670"/>
      <c r="I17" s="670"/>
      <c r="J17" s="671"/>
      <c r="M17" s="661" t="e">
        <f>#REF!/#REF!*100</f>
        <v>#REF!</v>
      </c>
    </row>
    <row r="18" spans="1:13" ht="19.5" customHeight="1">
      <c r="A18" s="1178" t="s">
        <v>1111</v>
      </c>
      <c r="B18" s="1179"/>
      <c r="C18" s="1179"/>
      <c r="D18" s="1180"/>
      <c r="E18" s="661"/>
      <c r="F18" s="661">
        <f t="shared" si="0"/>
        <v>0</v>
      </c>
      <c r="G18" s="661">
        <f t="shared" si="1"/>
        <v>0</v>
      </c>
      <c r="H18" s="670">
        <f>H75+H80</f>
        <v>0</v>
      </c>
      <c r="I18" s="670">
        <f>I75+I80</f>
        <v>0</v>
      </c>
      <c r="J18" s="670">
        <f>J75+J80</f>
        <v>0</v>
      </c>
      <c r="M18" s="661"/>
    </row>
    <row r="19" spans="1:13" ht="16.5">
      <c r="A19" s="672"/>
      <c r="B19" s="673" t="s">
        <v>16</v>
      </c>
      <c r="C19" s="674"/>
      <c r="D19" s="675" t="s">
        <v>251</v>
      </c>
      <c r="E19" s="676">
        <v>1314633</v>
      </c>
      <c r="F19" s="667">
        <f t="shared" si="0"/>
        <v>1358015.889</v>
      </c>
      <c r="G19" s="667">
        <f t="shared" si="1"/>
        <v>1561718.2723499998</v>
      </c>
      <c r="I19" s="355" t="s">
        <v>347</v>
      </c>
      <c r="J19" s="390" t="e">
        <f>SUM(#REF!,#REF!,#REF!,#REF!,#REF!)</f>
        <v>#REF!</v>
      </c>
      <c r="K19" s="390" t="e">
        <f>SUM(#REF!,#REF!,#REF!,#REF!,#REF!)</f>
        <v>#REF!</v>
      </c>
      <c r="M19" s="676" t="e">
        <f>#REF!/#REF!*100</f>
        <v>#REF!</v>
      </c>
    </row>
    <row r="20" spans="1:13" ht="16.5">
      <c r="A20" s="363"/>
      <c r="B20" s="378" t="s">
        <v>17</v>
      </c>
      <c r="C20" s="385"/>
      <c r="D20" s="379" t="s">
        <v>35</v>
      </c>
      <c r="E20" s="676">
        <v>343190</v>
      </c>
      <c r="F20" s="667">
        <f t="shared" si="0"/>
        <v>354515.26999999996</v>
      </c>
      <c r="G20" s="667">
        <f t="shared" si="1"/>
        <v>407692.5604999999</v>
      </c>
      <c r="I20" s="355" t="s">
        <v>349</v>
      </c>
      <c r="J20" s="390">
        <v>4000</v>
      </c>
      <c r="K20" s="390"/>
      <c r="L20" s="355" t="s">
        <v>350</v>
      </c>
      <c r="M20" s="380" t="e">
        <f>#REF!/#REF!*100</f>
        <v>#REF!</v>
      </c>
    </row>
    <row r="21" spans="1:13" ht="16.5">
      <c r="A21" s="363"/>
      <c r="B21" s="378" t="s">
        <v>36</v>
      </c>
      <c r="C21" s="385"/>
      <c r="D21" s="379" t="s">
        <v>552</v>
      </c>
      <c r="E21" s="676">
        <v>1320789</v>
      </c>
      <c r="F21" s="667">
        <f t="shared" si="0"/>
        <v>1364375.0369999998</v>
      </c>
      <c r="G21" s="667">
        <f t="shared" si="1"/>
        <v>1569031.2925499997</v>
      </c>
      <c r="I21" s="355" t="s">
        <v>351</v>
      </c>
      <c r="J21" s="390"/>
      <c r="K21" s="390">
        <v>30062</v>
      </c>
      <c r="M21" s="380" t="e">
        <f>#REF!/#REF!*100</f>
        <v>#REF!</v>
      </c>
    </row>
    <row r="22" spans="1:13" s="386" customFormat="1" ht="16.5">
      <c r="A22" s="377"/>
      <c r="B22" s="378" t="s">
        <v>37</v>
      </c>
      <c r="C22" s="385"/>
      <c r="D22" s="379" t="s">
        <v>553</v>
      </c>
      <c r="E22" s="676">
        <v>69612</v>
      </c>
      <c r="F22" s="667">
        <f t="shared" si="0"/>
        <v>71909.196</v>
      </c>
      <c r="G22" s="667">
        <f t="shared" si="1"/>
        <v>82695.57539999999</v>
      </c>
      <c r="J22" s="677"/>
      <c r="K22" s="677"/>
      <c r="M22" s="380"/>
    </row>
    <row r="23" spans="1:13" s="386" customFormat="1" ht="16.5">
      <c r="A23" s="377"/>
      <c r="B23" s="378" t="s">
        <v>38</v>
      </c>
      <c r="C23" s="385"/>
      <c r="D23" s="379" t="s">
        <v>1179</v>
      </c>
      <c r="E23" s="676">
        <v>0</v>
      </c>
      <c r="F23" s="667">
        <f t="shared" si="0"/>
        <v>0</v>
      </c>
      <c r="G23" s="667">
        <f t="shared" si="1"/>
        <v>0</v>
      </c>
      <c r="J23" s="677"/>
      <c r="K23" s="677"/>
      <c r="M23" s="380"/>
    </row>
    <row r="24" spans="1:13" s="386" customFormat="1" ht="16.5">
      <c r="A24" s="377"/>
      <c r="B24" s="378" t="s">
        <v>39</v>
      </c>
      <c r="C24" s="385"/>
      <c r="D24" s="379" t="s">
        <v>1328</v>
      </c>
      <c r="E24" s="676">
        <v>130750</v>
      </c>
      <c r="F24" s="667">
        <f t="shared" si="0"/>
        <v>135064.75</v>
      </c>
      <c r="G24" s="667">
        <f t="shared" si="1"/>
        <v>155324.4625</v>
      </c>
      <c r="J24" s="677"/>
      <c r="K24" s="677"/>
      <c r="M24" s="380" t="e">
        <f>#REF!/#REF!*100</f>
        <v>#REF!</v>
      </c>
    </row>
    <row r="25" spans="1:13" ht="16.5">
      <c r="A25" s="363"/>
      <c r="B25" s="378" t="s">
        <v>42</v>
      </c>
      <c r="C25" s="385"/>
      <c r="D25" s="379" t="s">
        <v>405</v>
      </c>
      <c r="E25" s="676">
        <v>40000</v>
      </c>
      <c r="F25" s="667">
        <f t="shared" si="0"/>
        <v>41320</v>
      </c>
      <c r="G25" s="667">
        <f t="shared" si="1"/>
        <v>47517.99999999999</v>
      </c>
      <c r="I25" s="355" t="s">
        <v>352</v>
      </c>
      <c r="J25" s="390">
        <v>51857</v>
      </c>
      <c r="K25" s="390">
        <v>51858</v>
      </c>
      <c r="M25" s="380" t="e">
        <f>#REF!/#REF!*100</f>
        <v>#REF!</v>
      </c>
    </row>
    <row r="26" spans="1:13" ht="19.5" customHeight="1">
      <c r="A26" s="1175" t="s">
        <v>1329</v>
      </c>
      <c r="B26" s="1176"/>
      <c r="C26" s="1176"/>
      <c r="D26" s="1177"/>
      <c r="E26" s="669">
        <v>3218974</v>
      </c>
      <c r="F26" s="669">
        <f t="shared" si="0"/>
        <v>3325200.1419999995</v>
      </c>
      <c r="G26" s="669">
        <f t="shared" si="1"/>
        <v>3823980.163299999</v>
      </c>
      <c r="M26" s="678" t="e">
        <f>#REF!/#REF!*100</f>
        <v>#REF!</v>
      </c>
    </row>
    <row r="27" spans="1:13" ht="16.5">
      <c r="A27" s="363"/>
      <c r="B27" s="378" t="s">
        <v>714</v>
      </c>
      <c r="C27" s="385"/>
      <c r="D27" s="379" t="s">
        <v>554</v>
      </c>
      <c r="E27" s="676">
        <v>114882</v>
      </c>
      <c r="F27" s="667">
        <f t="shared" si="0"/>
        <v>118673.10599999999</v>
      </c>
      <c r="G27" s="667">
        <f t="shared" si="1"/>
        <v>136474.07189999998</v>
      </c>
      <c r="J27" s="390"/>
      <c r="K27" s="390"/>
      <c r="M27" s="380" t="e">
        <f>#REF!/#REF!*100</f>
        <v>#REF!</v>
      </c>
    </row>
    <row r="28" spans="1:13" ht="19.5" customHeight="1">
      <c r="A28" s="1175" t="s">
        <v>509</v>
      </c>
      <c r="B28" s="1176" t="s">
        <v>715</v>
      </c>
      <c r="C28" s="1176"/>
      <c r="D28" s="1177" t="s">
        <v>636</v>
      </c>
      <c r="E28" s="669">
        <v>114882</v>
      </c>
      <c r="F28" s="669">
        <f t="shared" si="0"/>
        <v>118673.10599999999</v>
      </c>
      <c r="G28" s="669">
        <f t="shared" si="1"/>
        <v>136474.07189999998</v>
      </c>
      <c r="M28" s="669" t="e">
        <f>#REF!/#REF!*100</f>
        <v>#REF!</v>
      </c>
    </row>
    <row r="29" spans="1:13" ht="19.5" customHeight="1">
      <c r="A29" s="1175" t="s">
        <v>1330</v>
      </c>
      <c r="B29" s="1176"/>
      <c r="C29" s="1176"/>
      <c r="D29" s="1177"/>
      <c r="E29" s="669">
        <v>3333856</v>
      </c>
      <c r="F29" s="669">
        <f t="shared" si="0"/>
        <v>3443873.2479999997</v>
      </c>
      <c r="G29" s="669">
        <f t="shared" si="1"/>
        <v>3960454.2351999995</v>
      </c>
      <c r="M29" s="669" t="e">
        <f>#REF!/#REF!*100</f>
        <v>#REF!</v>
      </c>
    </row>
    <row r="30" spans="1:13" ht="16.5">
      <c r="A30" s="363"/>
      <c r="B30" s="378" t="s">
        <v>715</v>
      </c>
      <c r="C30" s="385"/>
      <c r="D30" s="379" t="s">
        <v>641</v>
      </c>
      <c r="E30" s="676">
        <v>0</v>
      </c>
      <c r="F30" s="667">
        <f t="shared" si="0"/>
        <v>0</v>
      </c>
      <c r="G30" s="667">
        <f t="shared" si="1"/>
        <v>0</v>
      </c>
      <c r="J30" s="390"/>
      <c r="K30" s="390"/>
      <c r="M30" s="380"/>
    </row>
    <row r="31" spans="1:13" ht="16.5">
      <c r="A31" s="363"/>
      <c r="B31" s="378" t="s">
        <v>716</v>
      </c>
      <c r="C31" s="385"/>
      <c r="D31" s="379" t="s">
        <v>564</v>
      </c>
      <c r="E31" s="676">
        <v>0</v>
      </c>
      <c r="F31" s="667">
        <f t="shared" si="0"/>
        <v>0</v>
      </c>
      <c r="G31" s="667">
        <f t="shared" si="1"/>
        <v>0</v>
      </c>
      <c r="J31" s="390"/>
      <c r="K31" s="390"/>
      <c r="M31" s="380" t="e">
        <f>#REF!/#REF!*100</f>
        <v>#REF!</v>
      </c>
    </row>
    <row r="32" spans="1:13" ht="19.5" customHeight="1">
      <c r="A32" s="1175" t="s">
        <v>510</v>
      </c>
      <c r="B32" s="1176"/>
      <c r="C32" s="1176"/>
      <c r="D32" s="1177"/>
      <c r="E32" s="669">
        <v>0</v>
      </c>
      <c r="F32" s="669">
        <f t="shared" si="0"/>
        <v>0</v>
      </c>
      <c r="G32" s="669">
        <f t="shared" si="1"/>
        <v>0</v>
      </c>
      <c r="M32" s="669" t="e">
        <f>#REF!/#REF!*100</f>
        <v>#REF!</v>
      </c>
    </row>
    <row r="33" spans="1:13" ht="19.5" customHeight="1">
      <c r="A33" s="1178" t="s">
        <v>460</v>
      </c>
      <c r="B33" s="1179"/>
      <c r="C33" s="1179"/>
      <c r="D33" s="1180"/>
      <c r="E33" s="661">
        <v>3333856</v>
      </c>
      <c r="F33" s="661">
        <f t="shared" si="0"/>
        <v>3443873.2479999997</v>
      </c>
      <c r="G33" s="661">
        <f t="shared" si="1"/>
        <v>3960454.2351999995</v>
      </c>
      <c r="H33" s="670"/>
      <c r="I33" s="670"/>
      <c r="J33" s="670"/>
      <c r="M33" s="662" t="e">
        <f>#REF!/#REF!*100</f>
        <v>#REF!</v>
      </c>
    </row>
    <row r="34" spans="1:13" ht="16.5">
      <c r="A34" s="1182" t="s">
        <v>489</v>
      </c>
      <c r="B34" s="1183"/>
      <c r="C34" s="1183"/>
      <c r="D34" s="1184"/>
      <c r="E34" s="659"/>
      <c r="F34" s="667">
        <f t="shared" si="0"/>
        <v>0</v>
      </c>
      <c r="G34" s="667">
        <f t="shared" si="1"/>
        <v>0</v>
      </c>
      <c r="M34" s="660"/>
    </row>
    <row r="35" spans="1:13" ht="16.5">
      <c r="A35" s="679" t="s">
        <v>490</v>
      </c>
      <c r="B35" s="680"/>
      <c r="C35" s="681"/>
      <c r="D35" s="682"/>
      <c r="E35" s="661"/>
      <c r="F35" s="661">
        <f t="shared" si="0"/>
        <v>0</v>
      </c>
      <c r="G35" s="661">
        <f t="shared" si="1"/>
        <v>0</v>
      </c>
      <c r="M35" s="662"/>
    </row>
    <row r="36" spans="1:13" ht="16.5">
      <c r="A36" s="683"/>
      <c r="B36" s="664" t="s">
        <v>20</v>
      </c>
      <c r="C36" s="665"/>
      <c r="D36" s="666" t="s">
        <v>366</v>
      </c>
      <c r="E36" s="737">
        <v>353838</v>
      </c>
      <c r="F36" s="667">
        <f t="shared" si="0"/>
        <v>365514.654</v>
      </c>
      <c r="G36" s="667">
        <f t="shared" si="1"/>
        <v>420341.85209999996</v>
      </c>
      <c r="M36" s="667" t="e">
        <f>#REF!/#REF!*100</f>
        <v>#REF!</v>
      </c>
    </row>
    <row r="37" spans="1:13" ht="16.5">
      <c r="A37" s="683"/>
      <c r="B37" s="664" t="s">
        <v>44</v>
      </c>
      <c r="C37" s="665"/>
      <c r="D37" s="666" t="s">
        <v>619</v>
      </c>
      <c r="E37" s="737">
        <v>0</v>
      </c>
      <c r="F37" s="667">
        <f t="shared" si="0"/>
        <v>0</v>
      </c>
      <c r="G37" s="667">
        <f t="shared" si="1"/>
        <v>0</v>
      </c>
      <c r="M37" s="667" t="e">
        <f>#REF!/#REF!*100</f>
        <v>#REF!</v>
      </c>
    </row>
    <row r="38" spans="1:13" ht="16.5">
      <c r="A38" s="683"/>
      <c r="B38" s="664" t="s">
        <v>45</v>
      </c>
      <c r="C38" s="665"/>
      <c r="D38" s="666" t="s">
        <v>1331</v>
      </c>
      <c r="E38" s="737">
        <v>1000</v>
      </c>
      <c r="F38" s="667">
        <f t="shared" si="0"/>
        <v>1033</v>
      </c>
      <c r="G38" s="667">
        <f t="shared" si="1"/>
        <v>1187.9499999999998</v>
      </c>
      <c r="M38" s="667" t="e">
        <f>#REF!/#REF!*100</f>
        <v>#REF!</v>
      </c>
    </row>
    <row r="39" spans="1:13" ht="16.5">
      <c r="A39" s="683"/>
      <c r="B39" s="664" t="s">
        <v>49</v>
      </c>
      <c r="C39" s="665"/>
      <c r="D39" s="666" t="s">
        <v>1191</v>
      </c>
      <c r="E39" s="737">
        <v>3000</v>
      </c>
      <c r="F39" s="667">
        <f t="shared" si="0"/>
        <v>3098.9999999999995</v>
      </c>
      <c r="G39" s="667">
        <f t="shared" si="1"/>
        <v>3563.849999999999</v>
      </c>
      <c r="M39" s="667" t="e">
        <f>#REF!/#REF!*100</f>
        <v>#REF!</v>
      </c>
    </row>
    <row r="40" spans="1:13" ht="16.5">
      <c r="A40" s="1175" t="s">
        <v>374</v>
      </c>
      <c r="B40" s="1176"/>
      <c r="C40" s="1176"/>
      <c r="D40" s="1177" t="s">
        <v>27</v>
      </c>
      <c r="E40" s="669">
        <v>357838</v>
      </c>
      <c r="F40" s="669">
        <f t="shared" si="0"/>
        <v>369646.654</v>
      </c>
      <c r="G40" s="669">
        <f t="shared" si="1"/>
        <v>425093.65209999995</v>
      </c>
      <c r="M40" s="669" t="e">
        <f>#REF!/#REF!*100</f>
        <v>#REF!</v>
      </c>
    </row>
    <row r="41" spans="1:13" ht="16.5">
      <c r="A41" s="663"/>
      <c r="B41" s="664" t="s">
        <v>50</v>
      </c>
      <c r="C41" s="665"/>
      <c r="D41" s="666" t="s">
        <v>394</v>
      </c>
      <c r="E41" s="737">
        <v>100000</v>
      </c>
      <c r="F41" s="667">
        <f t="shared" si="0"/>
        <v>103299.99999999999</v>
      </c>
      <c r="G41" s="667">
        <f t="shared" si="1"/>
        <v>118794.99999999997</v>
      </c>
      <c r="M41" s="667"/>
    </row>
    <row r="42" spans="1:13" ht="16.5">
      <c r="A42" s="1175" t="s">
        <v>395</v>
      </c>
      <c r="B42" s="1176" t="s">
        <v>715</v>
      </c>
      <c r="C42" s="1176"/>
      <c r="D42" s="1177" t="s">
        <v>636</v>
      </c>
      <c r="E42" s="669">
        <v>100000</v>
      </c>
      <c r="F42" s="669">
        <f t="shared" si="0"/>
        <v>103299.99999999999</v>
      </c>
      <c r="G42" s="669">
        <f t="shared" si="1"/>
        <v>118794.99999999997</v>
      </c>
      <c r="H42" s="390" t="e">
        <f>SUM(H44-H43)</f>
        <v>#REF!</v>
      </c>
      <c r="M42" s="669"/>
    </row>
    <row r="43" spans="1:13" ht="16.5">
      <c r="A43" s="1175" t="s">
        <v>396</v>
      </c>
      <c r="B43" s="1176"/>
      <c r="C43" s="1176"/>
      <c r="D43" s="1177"/>
      <c r="E43" s="669">
        <v>457838</v>
      </c>
      <c r="F43" s="669">
        <f t="shared" si="0"/>
        <v>472946.654</v>
      </c>
      <c r="G43" s="669">
        <f t="shared" si="1"/>
        <v>543888.6521</v>
      </c>
      <c r="H43" s="355">
        <v>3130462</v>
      </c>
      <c r="M43" s="669" t="e">
        <f>#REF!/#REF!*100</f>
        <v>#REF!</v>
      </c>
    </row>
    <row r="44" spans="1:13" ht="16.5">
      <c r="A44" s="663"/>
      <c r="B44" s="664" t="s">
        <v>308</v>
      </c>
      <c r="C44" s="665"/>
      <c r="D44" s="666" t="s">
        <v>398</v>
      </c>
      <c r="E44" s="737">
        <v>200000</v>
      </c>
      <c r="F44" s="667">
        <f t="shared" si="0"/>
        <v>206599.99999999997</v>
      </c>
      <c r="G44" s="667">
        <f t="shared" si="1"/>
        <v>237589.99999999994</v>
      </c>
      <c r="H44" s="390" t="e">
        <f>SUM(#REF!,'[1]2a sz.melléklet'!#REF!,'[1]cigány 1e sz. mell'!#REF!,'[1]német 1d.sz. mell. '!#REF!)</f>
        <v>#REF!</v>
      </c>
      <c r="I44" s="390" t="e">
        <f>SUM(#REF!,'[1]2a sz.melléklet'!F85,'[1]cigány 1e sz. mell'!F50,'[1]német 1d.sz. mell. '!F50)</f>
        <v>#REF!</v>
      </c>
      <c r="M44" s="667" t="e">
        <f>#REF!/#REF!*100</f>
        <v>#REF!</v>
      </c>
    </row>
    <row r="45" spans="1:13" s="383" customFormat="1" ht="16.5">
      <c r="A45" s="382"/>
      <c r="B45" s="370" t="s">
        <v>700</v>
      </c>
      <c r="C45" s="371"/>
      <c r="D45" s="372" t="s">
        <v>398</v>
      </c>
      <c r="E45" s="738">
        <v>200000</v>
      </c>
      <c r="F45" s="667">
        <f t="shared" si="0"/>
        <v>206599.99999999997</v>
      </c>
      <c r="G45" s="667">
        <f t="shared" si="1"/>
        <v>237589.99999999994</v>
      </c>
      <c r="M45" s="374" t="e">
        <f>#REF!/#REF!*100</f>
        <v>#REF!</v>
      </c>
    </row>
    <row r="46" spans="1:13" s="383" customFormat="1" ht="16.5">
      <c r="A46" s="382"/>
      <c r="B46" s="370" t="s">
        <v>399</v>
      </c>
      <c r="C46" s="371"/>
      <c r="D46" s="372" t="s">
        <v>400</v>
      </c>
      <c r="E46" s="738">
        <v>0</v>
      </c>
      <c r="F46" s="667">
        <f t="shared" si="0"/>
        <v>0</v>
      </c>
      <c r="G46" s="667">
        <f t="shared" si="1"/>
        <v>0</v>
      </c>
      <c r="M46" s="374"/>
    </row>
    <row r="47" spans="1:13" ht="16.5">
      <c r="A47" s="1175" t="s">
        <v>401</v>
      </c>
      <c r="B47" s="1176"/>
      <c r="C47" s="1176"/>
      <c r="D47" s="1177"/>
      <c r="E47" s="669">
        <v>200000</v>
      </c>
      <c r="F47" s="669">
        <f t="shared" si="0"/>
        <v>206599.99999999997</v>
      </c>
      <c r="G47" s="669">
        <f t="shared" si="1"/>
        <v>237589.99999999994</v>
      </c>
      <c r="H47" s="390"/>
      <c r="I47" s="390"/>
      <c r="M47" s="669" t="e">
        <f>#REF!/#REF!*100</f>
        <v>#REF!</v>
      </c>
    </row>
    <row r="48" spans="1:13" ht="19.5" customHeight="1">
      <c r="A48" s="1178" t="s">
        <v>527</v>
      </c>
      <c r="B48" s="1179"/>
      <c r="C48" s="1179"/>
      <c r="D48" s="1180"/>
      <c r="E48" s="661">
        <v>657838</v>
      </c>
      <c r="F48" s="661">
        <f t="shared" si="0"/>
        <v>679546.654</v>
      </c>
      <c r="G48" s="661">
        <f t="shared" si="1"/>
        <v>781478.6521</v>
      </c>
      <c r="M48" s="661" t="e">
        <f>#REF!/#REF!*100</f>
        <v>#REF!</v>
      </c>
    </row>
    <row r="49" spans="1:13" ht="19.5" customHeight="1">
      <c r="A49" s="679" t="s">
        <v>526</v>
      </c>
      <c r="B49" s="680"/>
      <c r="C49" s="681"/>
      <c r="D49" s="682"/>
      <c r="E49" s="661"/>
      <c r="F49" s="661">
        <f t="shared" si="0"/>
        <v>0</v>
      </c>
      <c r="G49" s="661">
        <f t="shared" si="1"/>
        <v>0</v>
      </c>
      <c r="H49" s="670"/>
      <c r="I49" s="670"/>
      <c r="J49" s="670"/>
      <c r="M49" s="662"/>
    </row>
    <row r="50" spans="1:13" s="668" customFormat="1" ht="16.5">
      <c r="A50" s="683"/>
      <c r="B50" s="664"/>
      <c r="C50" s="665" t="s">
        <v>20</v>
      </c>
      <c r="D50" s="666" t="s">
        <v>53</v>
      </c>
      <c r="E50" s="737">
        <v>0</v>
      </c>
      <c r="F50" s="667">
        <f t="shared" si="0"/>
        <v>0</v>
      </c>
      <c r="G50" s="667">
        <f t="shared" si="1"/>
        <v>0</v>
      </c>
      <c r="M50" s="667"/>
    </row>
    <row r="51" spans="1:13" ht="16.5">
      <c r="A51" s="684"/>
      <c r="B51" s="685"/>
      <c r="C51" s="686" t="s">
        <v>144</v>
      </c>
      <c r="D51" s="687" t="s">
        <v>528</v>
      </c>
      <c r="E51" s="688">
        <v>0</v>
      </c>
      <c r="F51" s="667">
        <f t="shared" si="0"/>
        <v>0</v>
      </c>
      <c r="G51" s="667">
        <f t="shared" si="1"/>
        <v>0</v>
      </c>
      <c r="J51" s="390"/>
      <c r="M51" s="688"/>
    </row>
    <row r="52" spans="1:13" ht="16.5">
      <c r="A52" s="684"/>
      <c r="B52" s="685"/>
      <c r="C52" s="686" t="s">
        <v>186</v>
      </c>
      <c r="D52" s="687" t="s">
        <v>4</v>
      </c>
      <c r="E52" s="688">
        <v>0</v>
      </c>
      <c r="F52" s="667">
        <f t="shared" si="0"/>
        <v>0</v>
      </c>
      <c r="G52" s="667">
        <f t="shared" si="1"/>
        <v>0</v>
      </c>
      <c r="H52" s="355" t="e">
        <f>SUM('[1]5.sz.mell.'!P81+'[1]6.sz.mell.'!I77)</f>
        <v>#REF!</v>
      </c>
      <c r="J52" s="390"/>
      <c r="M52" s="688"/>
    </row>
    <row r="53" spans="1:13" ht="16.5">
      <c r="A53" s="684"/>
      <c r="B53" s="685"/>
      <c r="C53" s="686" t="s">
        <v>145</v>
      </c>
      <c r="D53" s="687" t="s">
        <v>1332</v>
      </c>
      <c r="E53" s="688">
        <v>0</v>
      </c>
      <c r="F53" s="667">
        <f t="shared" si="0"/>
        <v>0</v>
      </c>
      <c r="G53" s="667">
        <f t="shared" si="1"/>
        <v>0</v>
      </c>
      <c r="J53" s="390"/>
      <c r="M53" s="688"/>
    </row>
    <row r="54" spans="1:13" s="668" customFormat="1" ht="16.5">
      <c r="A54" s="683"/>
      <c r="B54" s="664"/>
      <c r="C54" s="665" t="s">
        <v>44</v>
      </c>
      <c r="D54" s="666" t="s">
        <v>52</v>
      </c>
      <c r="E54" s="667">
        <v>50100</v>
      </c>
      <c r="F54" s="667">
        <f t="shared" si="0"/>
        <v>51753.299999999996</v>
      </c>
      <c r="G54" s="667">
        <f t="shared" si="1"/>
        <v>59516.29499999999</v>
      </c>
      <c r="M54" s="667"/>
    </row>
    <row r="55" spans="1:13" ht="16.5">
      <c r="A55" s="684"/>
      <c r="B55" s="685"/>
      <c r="C55" s="686" t="s">
        <v>531</v>
      </c>
      <c r="D55" s="687" t="s">
        <v>529</v>
      </c>
      <c r="E55" s="688">
        <v>23120</v>
      </c>
      <c r="F55" s="667">
        <f t="shared" si="0"/>
        <v>23882.96</v>
      </c>
      <c r="G55" s="667">
        <f t="shared" si="1"/>
        <v>27465.404</v>
      </c>
      <c r="J55" s="390"/>
      <c r="M55" s="688"/>
    </row>
    <row r="56" spans="1:13" ht="16.5">
      <c r="A56" s="684"/>
      <c r="B56" s="685"/>
      <c r="C56" s="686" t="s">
        <v>532</v>
      </c>
      <c r="D56" s="687" t="s">
        <v>533</v>
      </c>
      <c r="E56" s="688">
        <v>16960</v>
      </c>
      <c r="F56" s="667">
        <f t="shared" si="0"/>
        <v>17519.68</v>
      </c>
      <c r="G56" s="667">
        <f t="shared" si="1"/>
        <v>20147.631999999998</v>
      </c>
      <c r="H56" s="355" t="e">
        <f>SUM('[1]5.sz.mell.'!P85+'[1]6.sz.mell.'!I81)</f>
        <v>#REF!</v>
      </c>
      <c r="J56" s="390"/>
      <c r="M56" s="688"/>
    </row>
    <row r="57" spans="1:13" ht="16.5">
      <c r="A57" s="684"/>
      <c r="B57" s="685"/>
      <c r="C57" s="686" t="s">
        <v>1434</v>
      </c>
      <c r="D57" s="687" t="s">
        <v>1333</v>
      </c>
      <c r="E57" s="688">
        <v>10020</v>
      </c>
      <c r="F57" s="667">
        <f t="shared" si="0"/>
        <v>10350.66</v>
      </c>
      <c r="G57" s="667">
        <f t="shared" si="1"/>
        <v>11903.258999999998</v>
      </c>
      <c r="J57" s="390"/>
      <c r="M57" s="688"/>
    </row>
    <row r="58" spans="1:13" s="668" customFormat="1" ht="16.5">
      <c r="A58" s="683"/>
      <c r="B58" s="664"/>
      <c r="C58" s="665" t="s">
        <v>45</v>
      </c>
      <c r="D58" s="666" t="s">
        <v>650</v>
      </c>
      <c r="E58" s="667">
        <v>0</v>
      </c>
      <c r="F58" s="667">
        <f t="shared" si="0"/>
        <v>0</v>
      </c>
      <c r="G58" s="667">
        <f t="shared" si="1"/>
        <v>0</v>
      </c>
      <c r="M58" s="667"/>
    </row>
    <row r="59" spans="1:13" s="668" customFormat="1" ht="16.5">
      <c r="A59" s="683"/>
      <c r="B59" s="664"/>
      <c r="C59" s="665" t="s">
        <v>49</v>
      </c>
      <c r="D59" s="666" t="s">
        <v>553</v>
      </c>
      <c r="E59" s="667">
        <v>0</v>
      </c>
      <c r="F59" s="667">
        <f t="shared" si="0"/>
        <v>0</v>
      </c>
      <c r="G59" s="667">
        <f t="shared" si="1"/>
        <v>0</v>
      </c>
      <c r="M59" s="667"/>
    </row>
    <row r="60" spans="1:13" s="668" customFormat="1" ht="16.5">
      <c r="A60" s="683"/>
      <c r="B60" s="664"/>
      <c r="C60" s="665" t="s">
        <v>50</v>
      </c>
      <c r="D60" s="666" t="s">
        <v>1328</v>
      </c>
      <c r="E60" s="737">
        <v>50621</v>
      </c>
      <c r="F60" s="667">
        <f t="shared" si="0"/>
        <v>52291.492999999995</v>
      </c>
      <c r="G60" s="667">
        <f t="shared" si="1"/>
        <v>60135.21694999999</v>
      </c>
      <c r="M60" s="667"/>
    </row>
    <row r="61" spans="1:13" s="668" customFormat="1" ht="16.5">
      <c r="A61" s="683"/>
      <c r="B61" s="664"/>
      <c r="C61" s="665" t="s">
        <v>51</v>
      </c>
      <c r="D61" s="666" t="s">
        <v>651</v>
      </c>
      <c r="E61" s="737">
        <v>0</v>
      </c>
      <c r="F61" s="667">
        <f t="shared" si="0"/>
        <v>0</v>
      </c>
      <c r="G61" s="667">
        <f t="shared" si="1"/>
        <v>0</v>
      </c>
      <c r="M61" s="667"/>
    </row>
    <row r="62" spans="1:13" ht="19.5" customHeight="1">
      <c r="A62" s="1175" t="s">
        <v>519</v>
      </c>
      <c r="B62" s="1176"/>
      <c r="C62" s="1176"/>
      <c r="D62" s="1177" t="s">
        <v>27</v>
      </c>
      <c r="E62" s="669">
        <v>100721</v>
      </c>
      <c r="F62" s="669">
        <f t="shared" si="0"/>
        <v>104044.79299999999</v>
      </c>
      <c r="G62" s="669">
        <f t="shared" si="1"/>
        <v>119651.51194999999</v>
      </c>
      <c r="M62" s="669"/>
    </row>
    <row r="63" spans="1:13" s="668" customFormat="1" ht="16.5">
      <c r="A63" s="683"/>
      <c r="B63" s="664"/>
      <c r="C63" s="665" t="s">
        <v>259</v>
      </c>
      <c r="D63" s="666" t="s">
        <v>554</v>
      </c>
      <c r="E63" s="737">
        <v>737716</v>
      </c>
      <c r="F63" s="667">
        <f t="shared" si="0"/>
        <v>762060.6279999999</v>
      </c>
      <c r="G63" s="667">
        <f t="shared" si="1"/>
        <v>876369.7221999998</v>
      </c>
      <c r="M63" s="667" t="e">
        <f>#REF!/#REF!*100</f>
        <v>#REF!</v>
      </c>
    </row>
    <row r="64" spans="1:13" ht="19.5" customHeight="1">
      <c r="A64" s="1175" t="s">
        <v>520</v>
      </c>
      <c r="B64" s="1176" t="s">
        <v>715</v>
      </c>
      <c r="C64" s="1176"/>
      <c r="D64" s="1177" t="s">
        <v>636</v>
      </c>
      <c r="E64" s="669">
        <v>737716</v>
      </c>
      <c r="F64" s="669">
        <f t="shared" si="0"/>
        <v>762060.6279999999</v>
      </c>
      <c r="G64" s="669">
        <f t="shared" si="1"/>
        <v>876369.7221999998</v>
      </c>
      <c r="M64" s="669" t="e">
        <f>#REF!/#REF!*100</f>
        <v>#REF!</v>
      </c>
    </row>
    <row r="65" spans="1:13" ht="19.5" customHeight="1">
      <c r="A65" s="1175" t="s">
        <v>521</v>
      </c>
      <c r="B65" s="1176"/>
      <c r="C65" s="1176"/>
      <c r="D65" s="1177"/>
      <c r="E65" s="669">
        <v>838437</v>
      </c>
      <c r="F65" s="669">
        <f t="shared" si="0"/>
        <v>866105.421</v>
      </c>
      <c r="G65" s="669">
        <f t="shared" si="1"/>
        <v>996021.2341499999</v>
      </c>
      <c r="M65" s="669" t="e">
        <f>#REF!/#REF!*100</f>
        <v>#REF!</v>
      </c>
    </row>
    <row r="66" spans="1:13" s="668" customFormat="1" ht="16.5">
      <c r="A66" s="683"/>
      <c r="B66" s="664"/>
      <c r="C66" s="665" t="s">
        <v>308</v>
      </c>
      <c r="D66" s="666" t="s">
        <v>652</v>
      </c>
      <c r="E66" s="737">
        <v>75446</v>
      </c>
      <c r="F66" s="667">
        <f t="shared" si="0"/>
        <v>77935.718</v>
      </c>
      <c r="G66" s="667">
        <f t="shared" si="1"/>
        <v>89626.07569999999</v>
      </c>
      <c r="M66" s="667" t="e">
        <f>#REF!/#REF!*100</f>
        <v>#REF!</v>
      </c>
    </row>
    <row r="67" spans="1:13" ht="19.5" customHeight="1">
      <c r="A67" s="1175" t="s">
        <v>523</v>
      </c>
      <c r="B67" s="1176"/>
      <c r="C67" s="1176"/>
      <c r="D67" s="1177"/>
      <c r="E67" s="669">
        <v>75446</v>
      </c>
      <c r="F67" s="669">
        <f t="shared" si="0"/>
        <v>77935.718</v>
      </c>
      <c r="G67" s="669">
        <f t="shared" si="1"/>
        <v>89626.07569999999</v>
      </c>
      <c r="M67" s="669" t="e">
        <f>#REF!/#REF!*100</f>
        <v>#REF!</v>
      </c>
    </row>
    <row r="68" spans="1:13" ht="19.5" customHeight="1">
      <c r="A68" s="1178" t="s">
        <v>535</v>
      </c>
      <c r="B68" s="1179"/>
      <c r="C68" s="1179"/>
      <c r="D68" s="1180"/>
      <c r="E68" s="661">
        <v>913883</v>
      </c>
      <c r="F68" s="661">
        <f t="shared" si="0"/>
        <v>944041.139</v>
      </c>
      <c r="G68" s="661">
        <f t="shared" si="1"/>
        <v>1085647.3098499998</v>
      </c>
      <c r="H68" s="670"/>
      <c r="I68" s="670"/>
      <c r="J68" s="670"/>
      <c r="M68" s="661" t="e">
        <f>#REF!/#REF!*100</f>
        <v>#REF!</v>
      </c>
    </row>
    <row r="69" spans="6:7" ht="16.5">
      <c r="F69" s="667"/>
      <c r="G69" s="667">
        <f aca="true" t="shared" si="2" ref="G69:G83">SUM(F69*1.15)</f>
        <v>0</v>
      </c>
    </row>
    <row r="70" spans="1:13" s="668" customFormat="1" ht="16.5">
      <c r="A70" s="683"/>
      <c r="B70" s="664"/>
      <c r="C70" s="665"/>
      <c r="D70" s="666" t="s">
        <v>492</v>
      </c>
      <c r="E70" s="667">
        <v>3947739</v>
      </c>
      <c r="F70" s="667">
        <f aca="true" t="shared" si="3" ref="F70:F83">SUM(E70)*1.033</f>
        <v>4078014.3869999996</v>
      </c>
      <c r="G70" s="667">
        <f t="shared" si="2"/>
        <v>4689716.545049999</v>
      </c>
      <c r="M70" s="667" t="e">
        <f>#REF!/#REF!*100</f>
        <v>#REF!</v>
      </c>
    </row>
    <row r="71" spans="1:13" s="668" customFormat="1" ht="16.5">
      <c r="A71" s="683"/>
      <c r="B71" s="664"/>
      <c r="C71" s="665"/>
      <c r="D71" s="666" t="s">
        <v>493</v>
      </c>
      <c r="E71" s="737">
        <v>100000</v>
      </c>
      <c r="F71" s="667">
        <f t="shared" si="3"/>
        <v>103299.99999999999</v>
      </c>
      <c r="G71" s="667">
        <f t="shared" si="2"/>
        <v>118794.99999999997</v>
      </c>
      <c r="M71" s="667" t="e">
        <f>#REF!/#REF!*100</f>
        <v>#REF!</v>
      </c>
    </row>
    <row r="72" spans="1:13" s="668" customFormat="1" ht="16.5">
      <c r="A72" s="683"/>
      <c r="B72" s="664"/>
      <c r="C72" s="665"/>
      <c r="D72" s="666" t="s">
        <v>494</v>
      </c>
      <c r="E72" s="737">
        <v>200000</v>
      </c>
      <c r="F72" s="667">
        <f t="shared" si="3"/>
        <v>206599.99999999997</v>
      </c>
      <c r="G72" s="667">
        <f t="shared" si="2"/>
        <v>237589.99999999994</v>
      </c>
      <c r="M72" s="667" t="e">
        <f>#REF!/#REF!*100</f>
        <v>#REF!</v>
      </c>
    </row>
    <row r="73" spans="1:13" s="668" customFormat="1" ht="16.5">
      <c r="A73" s="683"/>
      <c r="B73" s="664"/>
      <c r="C73" s="665"/>
      <c r="D73" s="666" t="s">
        <v>541</v>
      </c>
      <c r="E73" s="737">
        <v>0</v>
      </c>
      <c r="F73" s="667">
        <f t="shared" si="3"/>
        <v>0</v>
      </c>
      <c r="G73" s="667">
        <f t="shared" si="2"/>
        <v>0</v>
      </c>
      <c r="M73" s="667"/>
    </row>
    <row r="74" spans="1:13" ht="19.5" customHeight="1">
      <c r="A74" s="1178" t="s">
        <v>542</v>
      </c>
      <c r="B74" s="1179"/>
      <c r="C74" s="1179"/>
      <c r="D74" s="1180"/>
      <c r="E74" s="661">
        <v>4247739</v>
      </c>
      <c r="F74" s="661">
        <f t="shared" si="3"/>
        <v>4387914.387</v>
      </c>
      <c r="G74" s="661">
        <f t="shared" si="2"/>
        <v>5046101.54505</v>
      </c>
      <c r="H74" s="670"/>
      <c r="I74" s="670"/>
      <c r="J74" s="670"/>
      <c r="M74" s="661" t="e">
        <f>#REF!/#REF!*100</f>
        <v>#REF!</v>
      </c>
    </row>
    <row r="75" spans="1:13" s="668" customFormat="1" ht="16.5">
      <c r="A75" s="683"/>
      <c r="B75" s="664"/>
      <c r="C75" s="665"/>
      <c r="D75" s="666"/>
      <c r="E75" s="737"/>
      <c r="F75" s="667"/>
      <c r="G75" s="667">
        <f t="shared" si="2"/>
        <v>0</v>
      </c>
      <c r="M75" s="667"/>
    </row>
    <row r="76" spans="1:13" ht="19.5" customHeight="1">
      <c r="A76" s="1178" t="s">
        <v>31</v>
      </c>
      <c r="B76" s="1179"/>
      <c r="C76" s="1179"/>
      <c r="D76" s="1180"/>
      <c r="E76" s="661">
        <v>4247739</v>
      </c>
      <c r="F76" s="661">
        <f t="shared" si="3"/>
        <v>4387914.387</v>
      </c>
      <c r="G76" s="661">
        <f t="shared" si="2"/>
        <v>5046101.54505</v>
      </c>
      <c r="H76" s="670"/>
      <c r="I76" s="670"/>
      <c r="J76" s="670"/>
      <c r="M76" s="661" t="e">
        <f>#REF!/#REF!*100</f>
        <v>#REF!</v>
      </c>
    </row>
    <row r="77" spans="1:13" s="668" customFormat="1" ht="16.5">
      <c r="A77" s="683"/>
      <c r="B77" s="664"/>
      <c r="C77" s="665"/>
      <c r="D77" s="666" t="s">
        <v>543</v>
      </c>
      <c r="E77" s="737">
        <v>3319659</v>
      </c>
      <c r="F77" s="667">
        <f t="shared" si="3"/>
        <v>3429207.7469999995</v>
      </c>
      <c r="G77" s="667">
        <f t="shared" si="2"/>
        <v>3943588.909049999</v>
      </c>
      <c r="M77" s="667" t="e">
        <f>#REF!/#REF!*100</f>
        <v>#REF!</v>
      </c>
    </row>
    <row r="78" spans="1:13" s="668" customFormat="1" ht="16.5">
      <c r="A78" s="683"/>
      <c r="B78" s="664"/>
      <c r="C78" s="665"/>
      <c r="D78" s="666" t="s">
        <v>544</v>
      </c>
      <c r="E78" s="737">
        <v>852598</v>
      </c>
      <c r="F78" s="667">
        <f t="shared" si="3"/>
        <v>880733.7339999999</v>
      </c>
      <c r="G78" s="667">
        <f t="shared" si="2"/>
        <v>1012843.7940999998</v>
      </c>
      <c r="M78" s="667" t="e">
        <f>#REF!/#REF!*100</f>
        <v>#REF!</v>
      </c>
    </row>
    <row r="79" spans="1:16" s="668" customFormat="1" ht="16.5">
      <c r="A79" s="683"/>
      <c r="B79" s="664"/>
      <c r="C79" s="665"/>
      <c r="D79" s="666" t="s">
        <v>545</v>
      </c>
      <c r="E79" s="737">
        <v>75446</v>
      </c>
      <c r="F79" s="667">
        <f t="shared" si="3"/>
        <v>77935.718</v>
      </c>
      <c r="G79" s="667">
        <f t="shared" si="2"/>
        <v>89626.07569999999</v>
      </c>
      <c r="M79" s="667" t="e">
        <f>#REF!/#REF!*100</f>
        <v>#REF!</v>
      </c>
      <c r="P79" s="689"/>
    </row>
    <row r="80" spans="1:13" s="668" customFormat="1" ht="16.5">
      <c r="A80" s="683"/>
      <c r="B80" s="664"/>
      <c r="C80" s="665"/>
      <c r="D80" s="666" t="s">
        <v>34</v>
      </c>
      <c r="E80" s="737">
        <v>0</v>
      </c>
      <c r="F80" s="667">
        <f t="shared" si="3"/>
        <v>0</v>
      </c>
      <c r="G80" s="667">
        <f t="shared" si="2"/>
        <v>0</v>
      </c>
      <c r="M80" s="667"/>
    </row>
    <row r="81" spans="1:13" ht="19.5" customHeight="1">
      <c r="A81" s="1178" t="s">
        <v>546</v>
      </c>
      <c r="B81" s="1179"/>
      <c r="C81" s="1179"/>
      <c r="D81" s="1180"/>
      <c r="E81" s="661">
        <v>4247739</v>
      </c>
      <c r="F81" s="661">
        <f t="shared" si="3"/>
        <v>4387914.387</v>
      </c>
      <c r="G81" s="661">
        <f t="shared" si="2"/>
        <v>5046101.54505</v>
      </c>
      <c r="H81" s="670"/>
      <c r="I81" s="670"/>
      <c r="J81" s="670"/>
      <c r="M81" s="661" t="e">
        <f>#REF!/#REF!*100</f>
        <v>#REF!</v>
      </c>
    </row>
    <row r="82" spans="1:13" s="668" customFormat="1" ht="16.5">
      <c r="A82" s="683"/>
      <c r="B82" s="664"/>
      <c r="C82" s="665"/>
      <c r="D82" s="666"/>
      <c r="E82" s="737"/>
      <c r="F82" s="667"/>
      <c r="G82" s="667"/>
      <c r="M82" s="667"/>
    </row>
    <row r="83" spans="1:13" ht="19.5" customHeight="1">
      <c r="A83" s="1178" t="s">
        <v>47</v>
      </c>
      <c r="B83" s="1179"/>
      <c r="C83" s="1179"/>
      <c r="D83" s="1180"/>
      <c r="E83" s="661">
        <v>4247739</v>
      </c>
      <c r="F83" s="661">
        <f t="shared" si="3"/>
        <v>4387914.387</v>
      </c>
      <c r="G83" s="661">
        <f t="shared" si="2"/>
        <v>5046101.54505</v>
      </c>
      <c r="H83" s="670"/>
      <c r="I83" s="670"/>
      <c r="J83" s="670"/>
      <c r="M83" s="661" t="e">
        <f>#REF!/#REF!*100</f>
        <v>#REF!</v>
      </c>
    </row>
  </sheetData>
  <sheetProtection/>
  <mergeCells count="29">
    <mergeCell ref="A42:D42"/>
    <mergeCell ref="A33:D33"/>
    <mergeCell ref="A81:D81"/>
    <mergeCell ref="A76:D76"/>
    <mergeCell ref="A65:D65"/>
    <mergeCell ref="A74:D74"/>
    <mergeCell ref="A68:D68"/>
    <mergeCell ref="A67:D67"/>
    <mergeCell ref="A34:D34"/>
    <mergeCell ref="A18:D18"/>
    <mergeCell ref="A26:D26"/>
    <mergeCell ref="A16:D16"/>
    <mergeCell ref="A83:D83"/>
    <mergeCell ref="A47:D47"/>
    <mergeCell ref="A48:D48"/>
    <mergeCell ref="A62:D62"/>
    <mergeCell ref="A64:D64"/>
    <mergeCell ref="A43:D43"/>
    <mergeCell ref="A40:D40"/>
    <mergeCell ref="A32:D32"/>
    <mergeCell ref="A12:D12"/>
    <mergeCell ref="A13:D13"/>
    <mergeCell ref="A29:D29"/>
    <mergeCell ref="A17:D17"/>
    <mergeCell ref="A1:C1"/>
    <mergeCell ref="A2:D2"/>
    <mergeCell ref="A3:D3"/>
    <mergeCell ref="A10:D10"/>
    <mergeCell ref="A28:D28"/>
  </mergeCells>
  <printOptions horizontalCentered="1"/>
  <pageMargins left="0.1968503937007874" right="0.1968503937007874" top="0.984251968503937" bottom="0.1968503937007874" header="0.2362204724409449" footer="0.11811023622047245"/>
  <pageSetup firstPageNumber="89" useFirstPageNumber="1" horizontalDpi="600" verticalDpi="600" orientation="portrait" paperSize="9" scale="90" r:id="rId1"/>
  <headerFooter alignWithMargins="0">
    <oddHeader>&amp;C&amp;"Times New Roman,Félkövér"&amp;14
Vecsés Város Önkormányzat  2011., 2012., 2013. évi bevételei és kiadásai&amp;R13.sz. melléklet
ezer Ft</oddHeader>
    <oddFooter>&amp;C-&amp;P -</oddFooter>
  </headerFooter>
  <rowBreaks count="1" manualBreakCount="1">
    <brk id="4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.421875" style="355" customWidth="1"/>
    <col min="2" max="2" width="3.00390625" style="391" customWidth="1"/>
    <col min="3" max="3" width="2.28125" style="391" customWidth="1"/>
    <col min="4" max="4" width="68.7109375" style="355" customWidth="1"/>
    <col min="5" max="5" width="14.8515625" style="355" hidden="1" customWidth="1"/>
    <col min="6" max="6" width="14.00390625" style="355" hidden="1" customWidth="1"/>
    <col min="7" max="7" width="13.7109375" style="355" hidden="1" customWidth="1"/>
    <col min="8" max="8" width="14.421875" style="355" customWidth="1"/>
    <col min="9" max="16384" width="9.140625" style="355" customWidth="1"/>
  </cols>
  <sheetData>
    <row r="1" spans="1:8" ht="48" customHeight="1" thickBot="1" thickTop="1">
      <c r="A1" s="1181" t="s">
        <v>9</v>
      </c>
      <c r="B1" s="1181"/>
      <c r="C1" s="1181"/>
      <c r="D1" s="656" t="s">
        <v>10</v>
      </c>
      <c r="E1" s="656"/>
      <c r="F1" s="656" t="s">
        <v>1334</v>
      </c>
      <c r="G1" s="398" t="s">
        <v>1125</v>
      </c>
      <c r="H1" s="398" t="s">
        <v>1136</v>
      </c>
    </row>
    <row r="2" spans="1:8" ht="16.5" thickTop="1">
      <c r="A2" s="690"/>
      <c r="B2" s="691" t="s">
        <v>14</v>
      </c>
      <c r="C2" s="692"/>
      <c r="D2" s="693" t="s">
        <v>1335</v>
      </c>
      <c r="E2" s="694"/>
      <c r="F2" s="694"/>
      <c r="G2" s="694"/>
      <c r="H2" s="694"/>
    </row>
    <row r="3" spans="1:8" ht="15">
      <c r="A3" s="672"/>
      <c r="B3" s="695" t="s">
        <v>19</v>
      </c>
      <c r="C3" s="674"/>
      <c r="D3" s="696" t="s">
        <v>56</v>
      </c>
      <c r="E3" s="697"/>
      <c r="F3" s="697">
        <f>SUM('[5]3asz.melléklet'!I29)</f>
        <v>1376116</v>
      </c>
      <c r="G3" s="697">
        <f>SUM('[5]3asz.melléklet'!J29)</f>
        <v>1609000</v>
      </c>
      <c r="H3" s="697">
        <f>SUM('3asz.melléklet'!E29)</f>
        <v>1496533</v>
      </c>
    </row>
    <row r="4" spans="1:8" ht="15">
      <c r="A4" s="363"/>
      <c r="B4" s="364" t="s">
        <v>22</v>
      </c>
      <c r="C4" s="385"/>
      <c r="D4" s="365" t="s">
        <v>109</v>
      </c>
      <c r="E4" s="367"/>
      <c r="F4" s="367">
        <f>SUM('[5]3asz.melléklet'!I107)</f>
        <v>18000</v>
      </c>
      <c r="G4" s="367">
        <f>SUM('[5]3asz.melléklet'!J107)</f>
        <v>5000</v>
      </c>
      <c r="H4" s="367">
        <f>SUM('3asz.melléklet'!E111)</f>
        <v>3000</v>
      </c>
    </row>
    <row r="5" spans="1:8" ht="15">
      <c r="A5" s="363"/>
      <c r="B5" s="364" t="s">
        <v>1156</v>
      </c>
      <c r="C5" s="365"/>
      <c r="D5" s="365" t="s">
        <v>1336</v>
      </c>
      <c r="E5" s="367"/>
      <c r="F5" s="367"/>
      <c r="G5" s="367"/>
      <c r="H5" s="367"/>
    </row>
    <row r="6" spans="1:8" ht="15">
      <c r="A6" s="363"/>
      <c r="B6" s="364" t="s">
        <v>23</v>
      </c>
      <c r="C6" s="365"/>
      <c r="D6" s="365" t="s">
        <v>1337</v>
      </c>
      <c r="E6" s="367"/>
      <c r="F6" s="367">
        <f>SUM('[5]3asz.melléklet'!I15)</f>
        <v>58496</v>
      </c>
      <c r="G6" s="367">
        <f>SUM('[5]3asz.melléklet'!J15)</f>
        <v>58596</v>
      </c>
      <c r="H6" s="367">
        <f>SUM('3asz.melléklet'!E15)</f>
        <v>50897</v>
      </c>
    </row>
    <row r="7" spans="1:8" ht="16.5">
      <c r="A7" s="363"/>
      <c r="B7" s="664" t="s">
        <v>24</v>
      </c>
      <c r="C7" s="665"/>
      <c r="D7" s="665" t="s">
        <v>1338</v>
      </c>
      <c r="E7" s="667"/>
      <c r="F7" s="667">
        <f>SUM(F2:F6)</f>
        <v>1452612</v>
      </c>
      <c r="G7" s="667">
        <f>SUM(G2:G6)</f>
        <v>1672596</v>
      </c>
      <c r="H7" s="667">
        <f>SUM(H2:H6)</f>
        <v>1550430</v>
      </c>
    </row>
    <row r="8" spans="1:8" ht="29.25">
      <c r="A8" s="363"/>
      <c r="B8" s="378" t="s">
        <v>26</v>
      </c>
      <c r="C8" s="385"/>
      <c r="D8" s="387" t="s">
        <v>1339</v>
      </c>
      <c r="E8" s="380"/>
      <c r="F8" s="380">
        <f>SUM(F9:F15)</f>
        <v>24982</v>
      </c>
      <c r="G8" s="380">
        <f>SUM(G9:G15)</f>
        <v>67742</v>
      </c>
      <c r="H8" s="380">
        <f>SUM(H9:H15)</f>
        <v>75446</v>
      </c>
    </row>
    <row r="9" spans="1:8" ht="15">
      <c r="A9" s="363"/>
      <c r="B9" s="364" t="s">
        <v>28</v>
      </c>
      <c r="C9" s="365"/>
      <c r="D9" s="365" t="s">
        <v>1340</v>
      </c>
      <c r="E9" s="367"/>
      <c r="F9" s="367"/>
      <c r="G9" s="367"/>
      <c r="H9" s="367"/>
    </row>
    <row r="10" spans="1:8" ht="15">
      <c r="A10" s="377"/>
      <c r="B10" s="364" t="s">
        <v>711</v>
      </c>
      <c r="C10" s="385"/>
      <c r="D10" s="381" t="s">
        <v>1341</v>
      </c>
      <c r="E10" s="367"/>
      <c r="F10" s="367">
        <f>SUM('[5]3b.sz.melléklet'!I163+'[5]3b.sz.melléklet'!I164+'[5]3b.sz.melléklet'!I167+'[5]3b.sz.melléklet'!I168)</f>
        <v>14982</v>
      </c>
      <c r="G10" s="367">
        <f>SUM('[5]3b.sz.melléklet'!J163+'[5]3b.sz.melléklet'!J164+'[5]3b.sz.melléklet'!J167+'[5]3b.sz.melléklet'!J168)</f>
        <v>15083</v>
      </c>
      <c r="H10" s="367">
        <f>SUM('3b.sz.melléklet'!E139+'3b.sz.melléklet'!E140+'3b.sz.melléklet'!E144)</f>
        <v>11692</v>
      </c>
    </row>
    <row r="11" spans="1:8" ht="15">
      <c r="A11" s="377"/>
      <c r="B11" s="364" t="s">
        <v>540</v>
      </c>
      <c r="C11" s="385"/>
      <c r="D11" s="381" t="s">
        <v>1342</v>
      </c>
      <c r="E11" s="367"/>
      <c r="F11" s="367">
        <f>SUM('[5]3b.sz.melléklet'!I135)</f>
        <v>0</v>
      </c>
      <c r="G11" s="367">
        <f>SUM('[5]3b.sz.melléklet'!J135)</f>
        <v>0</v>
      </c>
      <c r="H11" s="367">
        <f>SUM('[5]3b.sz.melléklet'!K135)</f>
        <v>0</v>
      </c>
    </row>
    <row r="12" spans="1:8" ht="15">
      <c r="A12" s="363"/>
      <c r="B12" s="364" t="s">
        <v>712</v>
      </c>
      <c r="C12" s="371"/>
      <c r="D12" s="381" t="s">
        <v>1343</v>
      </c>
      <c r="E12" s="373"/>
      <c r="F12" s="373"/>
      <c r="G12" s="373"/>
      <c r="H12" s="373"/>
    </row>
    <row r="13" spans="1:8" ht="15">
      <c r="A13" s="363"/>
      <c r="B13" s="364" t="s">
        <v>713</v>
      </c>
      <c r="C13" s="365"/>
      <c r="D13" s="381" t="s">
        <v>1344</v>
      </c>
      <c r="E13" s="367"/>
      <c r="F13" s="367">
        <f>SUM('[5]3b.sz.melléklet'!I165)</f>
        <v>10000</v>
      </c>
      <c r="G13" s="367">
        <f>SUM('[5]3b.sz.melléklet'!J165+'[5]3b.sz.melléklet'!J166)</f>
        <v>52659</v>
      </c>
      <c r="H13" s="367">
        <f>SUM('3b.sz.melléklet'!E142+'3b.sz.melléklet'!E141)</f>
        <v>63754</v>
      </c>
    </row>
    <row r="14" spans="1:8" ht="15">
      <c r="A14" s="363"/>
      <c r="B14" s="364" t="s">
        <v>152</v>
      </c>
      <c r="C14" s="365"/>
      <c r="D14" s="381" t="s">
        <v>1345</v>
      </c>
      <c r="E14" s="367"/>
      <c r="F14" s="367">
        <f>SUM('[4]4.sz.melléklet'!I143)</f>
        <v>0</v>
      </c>
      <c r="G14" s="367">
        <f>SUM('[4]4.sz.melléklet'!J143)</f>
        <v>0</v>
      </c>
      <c r="H14" s="367">
        <f>SUM('[4]4.sz.melléklet'!K143)</f>
        <v>0</v>
      </c>
    </row>
    <row r="15" spans="1:8" ht="15">
      <c r="A15" s="363"/>
      <c r="B15" s="364" t="s">
        <v>548</v>
      </c>
      <c r="C15" s="385"/>
      <c r="D15" s="381" t="s">
        <v>1346</v>
      </c>
      <c r="E15" s="367"/>
      <c r="F15" s="367">
        <f>SUM('[4]4.sz.melléklet'!I144)</f>
        <v>0</v>
      </c>
      <c r="G15" s="367">
        <f>SUM('[4]4.sz.melléklet'!J144)</f>
        <v>0</v>
      </c>
      <c r="H15" s="367">
        <f>SUM('[4]4.sz.melléklet'!K144)</f>
        <v>0</v>
      </c>
    </row>
    <row r="16" spans="1:8" ht="15" customHeight="1">
      <c r="A16" s="698"/>
      <c r="B16" s="673" t="s">
        <v>549</v>
      </c>
      <c r="C16" s="674"/>
      <c r="D16" s="675" t="s">
        <v>1347</v>
      </c>
      <c r="E16" s="676"/>
      <c r="F16" s="676">
        <f>SUM('[5]3b.sz.melléklet'!I20+'[5]3b.sz.melléklet'!I21+'[5]3b.sz.melléklet'!I24+'[5]3b.sz.melléklet'!I25+'[5]3b.sz.melléklet'!I27+'[5]3b.sz.melléklet'!I28+'[5]3b.sz.melléklet'!I29)</f>
        <v>47463</v>
      </c>
      <c r="G16" s="676">
        <f>SUM('[5]3b.sz.melléklet'!J20+'[5]3b.sz.melléklet'!J21+'[5]3b.sz.melléklet'!J24+'[5]3b.sz.melléklet'!J25+'[5]3b.sz.melléklet'!J27+'[5]3b.sz.melléklet'!J28+'[5]3b.sz.melléklet'!J29)</f>
        <v>37109</v>
      </c>
      <c r="H16" s="676">
        <f>SUM('3b.sz.melléklet'!E23+'3b.sz.melléklet'!E24+'3b.sz.melléklet'!E27+'3b.sz.melléklet'!E28+'3b.sz.melléklet'!E30+'3b.sz.melléklet'!E31+'3b.sz.melléklet'!E32+'3b.sz.melléklet'!E33)</f>
        <v>52752</v>
      </c>
    </row>
    <row r="17" spans="1:8" ht="15" customHeight="1">
      <c r="A17" s="377"/>
      <c r="B17" s="664" t="s">
        <v>550</v>
      </c>
      <c r="C17" s="665"/>
      <c r="D17" s="666" t="s">
        <v>1348</v>
      </c>
      <c r="E17" s="667"/>
      <c r="F17" s="667">
        <f>SUM(F8+F16)</f>
        <v>72445</v>
      </c>
      <c r="G17" s="667">
        <f>SUM(G8+G16)</f>
        <v>104851</v>
      </c>
      <c r="H17" s="667">
        <f>SUM(H8+H16)</f>
        <v>128198</v>
      </c>
    </row>
    <row r="18" spans="1:8" ht="15" customHeight="1">
      <c r="A18" s="699"/>
      <c r="B18" s="664" t="s">
        <v>551</v>
      </c>
      <c r="C18" s="665"/>
      <c r="D18" s="666" t="s">
        <v>1349</v>
      </c>
      <c r="E18" s="667"/>
      <c r="F18" s="667">
        <f>SUM(F7-F17)*0.7</f>
        <v>966116.8999999999</v>
      </c>
      <c r="G18" s="667">
        <f>SUM(G7-G17)*0.7</f>
        <v>1097421.5</v>
      </c>
      <c r="H18" s="667">
        <f>SUM(H7-H17)*0.7</f>
        <v>995562.3999999999</v>
      </c>
    </row>
  </sheetData>
  <sheetProtection/>
  <mergeCells count="1">
    <mergeCell ref="A1:C1"/>
  </mergeCells>
  <printOptions horizontalCentered="1"/>
  <pageMargins left="0.1968503937007874" right="0.1968503937007874" top="1.2598425196850394" bottom="0.1968503937007874" header="0.5511811023622047" footer="0.11811023622047245"/>
  <pageSetup firstPageNumber="91" useFirstPageNumber="1" horizontalDpi="600" verticalDpi="600" orientation="portrait" paperSize="9" r:id="rId1"/>
  <headerFooter alignWithMargins="0">
    <oddHeader>&amp;C&amp;"Times New Roman,Félkövér"&amp;14
Vecsés Város Önkormányzat 2011. évi hitelfelvételi maximum bemutatása&amp;R14. sz. melléklet
ezer Ft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zoomScalePageLayoutView="0" workbookViewId="0" topLeftCell="A10">
      <selection activeCell="F20" sqref="F20"/>
    </sheetView>
  </sheetViews>
  <sheetFormatPr defaultColWidth="8.00390625" defaultRowHeight="12.75"/>
  <cols>
    <col min="1" max="1" width="5.7109375" style="703" customWidth="1"/>
    <col min="2" max="2" width="42.140625" style="703" customWidth="1"/>
    <col min="3" max="3" width="31.00390625" style="715" customWidth="1"/>
    <col min="4" max="4" width="12.7109375" style="703" customWidth="1"/>
    <col min="5" max="5" width="8.00390625" style="703" customWidth="1"/>
    <col min="6" max="7" width="12.57421875" style="703" customWidth="1"/>
    <col min="8" max="16384" width="8.00390625" style="703" customWidth="1"/>
  </cols>
  <sheetData>
    <row r="1" spans="1:4" ht="49.5" customHeight="1">
      <c r="A1" s="700" t="s">
        <v>1222</v>
      </c>
      <c r="B1" s="701" t="s">
        <v>1350</v>
      </c>
      <c r="C1" s="701" t="s">
        <v>1351</v>
      </c>
      <c r="D1" s="702" t="s">
        <v>1352</v>
      </c>
    </row>
    <row r="2" spans="1:4" ht="15.75" customHeight="1">
      <c r="A2" s="704" t="s">
        <v>14</v>
      </c>
      <c r="B2" s="379" t="s">
        <v>407</v>
      </c>
      <c r="C2" s="705"/>
      <c r="D2" s="380">
        <f>SUM(D3:D12)-D9-D10</f>
        <v>21400</v>
      </c>
    </row>
    <row r="3" spans="1:4" ht="25.5" customHeight="1">
      <c r="A3" s="704" t="s">
        <v>19</v>
      </c>
      <c r="B3" s="706" t="s">
        <v>555</v>
      </c>
      <c r="C3" s="705" t="s">
        <v>1353</v>
      </c>
      <c r="D3" s="367">
        <v>3000</v>
      </c>
    </row>
    <row r="4" spans="1:4" ht="15.75" customHeight="1">
      <c r="A4" s="704" t="s">
        <v>22</v>
      </c>
      <c r="B4" s="706" t="s">
        <v>1382</v>
      </c>
      <c r="C4" s="705" t="s">
        <v>1353</v>
      </c>
      <c r="D4" s="367">
        <v>200</v>
      </c>
    </row>
    <row r="5" spans="1:4" ht="15.75" customHeight="1">
      <c r="A5" s="704" t="s">
        <v>1156</v>
      </c>
      <c r="B5" s="706" t="s">
        <v>408</v>
      </c>
      <c r="C5" s="705" t="s">
        <v>1353</v>
      </c>
      <c r="D5" s="367">
        <v>8000</v>
      </c>
    </row>
    <row r="6" spans="1:4" ht="15.75" customHeight="1">
      <c r="A6" s="704" t="s">
        <v>23</v>
      </c>
      <c r="B6" s="706" t="s">
        <v>1</v>
      </c>
      <c r="C6" s="705" t="s">
        <v>1353</v>
      </c>
      <c r="D6" s="367">
        <v>500</v>
      </c>
    </row>
    <row r="7" spans="1:4" ht="15.75" customHeight="1">
      <c r="A7" s="704" t="s">
        <v>24</v>
      </c>
      <c r="B7" s="707" t="s">
        <v>1354</v>
      </c>
      <c r="C7" s="705" t="s">
        <v>1353</v>
      </c>
      <c r="D7" s="367">
        <v>5000</v>
      </c>
    </row>
    <row r="8" spans="1:4" ht="15.75" customHeight="1">
      <c r="A8" s="704" t="s">
        <v>26</v>
      </c>
      <c r="B8" s="707" t="s">
        <v>603</v>
      </c>
      <c r="C8" s="705" t="s">
        <v>1355</v>
      </c>
      <c r="D8" s="367">
        <v>3500</v>
      </c>
    </row>
    <row r="9" spans="1:4" ht="15.75" customHeight="1">
      <c r="A9" s="704"/>
      <c r="B9" s="420" t="s">
        <v>941</v>
      </c>
      <c r="C9" s="1053" t="s">
        <v>1355</v>
      </c>
      <c r="D9" s="48">
        <v>2000</v>
      </c>
    </row>
    <row r="10" spans="1:4" ht="15.75" customHeight="1">
      <c r="A10" s="704"/>
      <c r="B10" s="420" t="s">
        <v>293</v>
      </c>
      <c r="C10" s="1053" t="s">
        <v>1355</v>
      </c>
      <c r="D10" s="48">
        <v>1500</v>
      </c>
    </row>
    <row r="11" spans="1:4" ht="15.75" customHeight="1">
      <c r="A11" s="704" t="s">
        <v>28</v>
      </c>
      <c r="B11" s="707" t="s">
        <v>1204</v>
      </c>
      <c r="C11" s="705" t="s">
        <v>1353</v>
      </c>
      <c r="D11" s="367">
        <v>1000</v>
      </c>
    </row>
    <row r="12" spans="1:4" ht="15.75" customHeight="1">
      <c r="A12" s="704" t="s">
        <v>711</v>
      </c>
      <c r="B12" s="114" t="s">
        <v>409</v>
      </c>
      <c r="C12" s="705" t="s">
        <v>1353</v>
      </c>
      <c r="D12" s="367">
        <v>200</v>
      </c>
    </row>
    <row r="13" spans="1:4" ht="15.75" customHeight="1">
      <c r="A13" s="704" t="s">
        <v>540</v>
      </c>
      <c r="B13" s="379" t="s">
        <v>410</v>
      </c>
      <c r="C13" s="705"/>
      <c r="D13" s="380">
        <f>SUM(D14:D19)-D15-D16-D17+D20+D21+D23</f>
        <v>45000</v>
      </c>
    </row>
    <row r="14" spans="1:4" ht="15.75" customHeight="1">
      <c r="A14" s="704" t="s">
        <v>712</v>
      </c>
      <c r="B14" s="708" t="s">
        <v>653</v>
      </c>
      <c r="C14" s="705" t="s">
        <v>1353</v>
      </c>
      <c r="D14" s="709">
        <f>SUM(D15:D17)</f>
        <v>25000</v>
      </c>
    </row>
    <row r="15" spans="1:4" ht="15.75" customHeight="1">
      <c r="A15" s="704" t="s">
        <v>713</v>
      </c>
      <c r="B15" s="708" t="s">
        <v>41</v>
      </c>
      <c r="C15" s="705" t="s">
        <v>1353</v>
      </c>
      <c r="D15" s="367">
        <v>17500</v>
      </c>
    </row>
    <row r="16" spans="1:4" ht="15.75" customHeight="1">
      <c r="A16" s="704" t="s">
        <v>152</v>
      </c>
      <c r="B16" s="708" t="s">
        <v>654</v>
      </c>
      <c r="C16" s="705" t="s">
        <v>1353</v>
      </c>
      <c r="D16" s="367">
        <v>7000</v>
      </c>
    </row>
    <row r="17" spans="1:4" ht="15.75" customHeight="1">
      <c r="A17" s="704" t="s">
        <v>548</v>
      </c>
      <c r="B17" s="708" t="s">
        <v>655</v>
      </c>
      <c r="C17" s="705"/>
      <c r="D17" s="367">
        <v>500</v>
      </c>
    </row>
    <row r="18" spans="1:4" ht="15.75" customHeight="1">
      <c r="A18" s="704" t="s">
        <v>549</v>
      </c>
      <c r="B18" s="710" t="s">
        <v>656</v>
      </c>
      <c r="C18" s="705" t="s">
        <v>1356</v>
      </c>
      <c r="D18" s="367">
        <v>3500</v>
      </c>
    </row>
    <row r="19" spans="1:4" ht="15.75" customHeight="1">
      <c r="A19" s="704" t="s">
        <v>550</v>
      </c>
      <c r="B19" s="710" t="s">
        <v>2</v>
      </c>
      <c r="C19" s="705" t="s">
        <v>1356</v>
      </c>
      <c r="D19" s="367">
        <v>1500</v>
      </c>
    </row>
    <row r="20" spans="1:4" ht="15.75" customHeight="1">
      <c r="A20" s="704" t="s">
        <v>551</v>
      </c>
      <c r="B20" s="711" t="s">
        <v>1458</v>
      </c>
      <c r="C20" s="705" t="s">
        <v>1353</v>
      </c>
      <c r="D20" s="367">
        <v>7500</v>
      </c>
    </row>
    <row r="21" spans="1:4" ht="15.75" customHeight="1">
      <c r="A21" s="704" t="s">
        <v>153</v>
      </c>
      <c r="B21" s="708" t="s">
        <v>1357</v>
      </c>
      <c r="C21" s="705" t="s">
        <v>1356</v>
      </c>
      <c r="D21" s="367">
        <v>7500</v>
      </c>
    </row>
    <row r="22" spans="1:4" ht="15.75" customHeight="1">
      <c r="A22" s="704" t="s">
        <v>154</v>
      </c>
      <c r="B22" s="708" t="s">
        <v>1358</v>
      </c>
      <c r="C22" s="705" t="s">
        <v>1356</v>
      </c>
      <c r="D22" s="367">
        <v>2500</v>
      </c>
    </row>
    <row r="23" spans="1:4" ht="15.75" customHeight="1">
      <c r="A23" s="704" t="s">
        <v>155</v>
      </c>
      <c r="B23" s="120" t="s">
        <v>1426</v>
      </c>
      <c r="C23" s="705" t="s">
        <v>1353</v>
      </c>
      <c r="D23" s="367"/>
    </row>
    <row r="24" spans="1:4" ht="15.75" customHeight="1">
      <c r="A24" s="704" t="s">
        <v>156</v>
      </c>
      <c r="B24" s="712" t="s">
        <v>678</v>
      </c>
      <c r="C24" s="705"/>
      <c r="D24" s="380">
        <f>SUM(D25:D32)-D27-D28</f>
        <v>42750</v>
      </c>
    </row>
    <row r="25" spans="1:7" ht="15.75" customHeight="1">
      <c r="A25" s="704" t="s">
        <v>157</v>
      </c>
      <c r="B25" s="711" t="s">
        <v>679</v>
      </c>
      <c r="C25" s="705" t="s">
        <v>1353</v>
      </c>
      <c r="D25" s="367">
        <v>1000</v>
      </c>
      <c r="G25" s="722"/>
    </row>
    <row r="26" spans="1:4" ht="15.75" customHeight="1">
      <c r="A26" s="704" t="s">
        <v>158</v>
      </c>
      <c r="B26" s="711" t="s">
        <v>680</v>
      </c>
      <c r="C26" s="705" t="s">
        <v>1353</v>
      </c>
      <c r="D26" s="367">
        <v>750</v>
      </c>
    </row>
    <row r="27" spans="1:4" ht="15.75" customHeight="1">
      <c r="A27" s="1054"/>
      <c r="B27" s="713" t="s">
        <v>681</v>
      </c>
      <c r="C27" s="705" t="s">
        <v>1353</v>
      </c>
      <c r="D27" s="373">
        <v>350</v>
      </c>
    </row>
    <row r="28" spans="1:4" ht="15.75" customHeight="1">
      <c r="A28" s="704"/>
      <c r="B28" s="713" t="s">
        <v>682</v>
      </c>
      <c r="C28" s="705" t="s">
        <v>1353</v>
      </c>
      <c r="D28" s="373">
        <v>400</v>
      </c>
    </row>
    <row r="29" spans="1:4" ht="15.75" customHeight="1">
      <c r="A29" s="704" t="s">
        <v>159</v>
      </c>
      <c r="B29" s="711" t="s">
        <v>90</v>
      </c>
      <c r="C29" s="705" t="s">
        <v>1353</v>
      </c>
      <c r="D29" s="373">
        <v>2000</v>
      </c>
    </row>
    <row r="30" spans="1:4" ht="15.75" customHeight="1">
      <c r="A30" s="704" t="s">
        <v>160</v>
      </c>
      <c r="B30" s="711" t="s">
        <v>684</v>
      </c>
      <c r="C30" s="705" t="s">
        <v>1353</v>
      </c>
      <c r="D30" s="367">
        <v>35000</v>
      </c>
    </row>
    <row r="31" spans="1:4" ht="15.75" customHeight="1">
      <c r="A31" s="704" t="s">
        <v>161</v>
      </c>
      <c r="B31" s="708" t="s">
        <v>3</v>
      </c>
      <c r="C31" s="705" t="s">
        <v>1353</v>
      </c>
      <c r="D31" s="367">
        <v>1500</v>
      </c>
    </row>
    <row r="32" spans="1:4" ht="15.75" customHeight="1">
      <c r="A32" s="704" t="s">
        <v>162</v>
      </c>
      <c r="B32" s="130" t="s">
        <v>426</v>
      </c>
      <c r="C32" s="705" t="s">
        <v>1353</v>
      </c>
      <c r="D32" s="367">
        <v>2500</v>
      </c>
    </row>
    <row r="33" spans="1:4" ht="15" customHeight="1">
      <c r="A33" s="704" t="s">
        <v>163</v>
      </c>
      <c r="B33" s="712" t="s">
        <v>306</v>
      </c>
      <c r="C33" s="705" t="s">
        <v>1353</v>
      </c>
      <c r="D33" s="380">
        <v>21600</v>
      </c>
    </row>
    <row r="34" ht="15.75" customHeight="1" thickBot="1">
      <c r="A34" s="714"/>
    </row>
    <row r="35" spans="1:4" ht="24" customHeight="1" thickBot="1" thickTop="1">
      <c r="A35" s="716" t="s">
        <v>1263</v>
      </c>
      <c r="B35" s="717"/>
      <c r="C35" s="718"/>
      <c r="D35" s="719">
        <f>SUM(D33+D24+D13+D2)</f>
        <v>130750</v>
      </c>
    </row>
    <row r="36" ht="16.5" thickTop="1">
      <c r="A36" s="720"/>
    </row>
    <row r="38" spans="1:7" s="721" customFormat="1" ht="27" customHeight="1">
      <c r="A38" s="703"/>
      <c r="B38" s="703"/>
      <c r="C38" s="715"/>
      <c r="D38" s="703"/>
      <c r="F38" s="703"/>
      <c r="G38" s="703"/>
    </row>
  </sheetData>
  <sheetProtection/>
  <conditionalFormatting sqref="D35">
    <cfRule type="cellIs" priority="1" dxfId="0" operator="equal" stopIfTrue="1">
      <formula>0</formula>
    </cfRule>
  </conditionalFormatting>
  <printOptions horizontalCentered="1"/>
  <pageMargins left="0.48" right="0.36" top="1.3385826771653544" bottom="0.984251968503937" header="0.4330708661417323" footer="0.7874015748031497"/>
  <pageSetup firstPageNumber="92" useFirstPageNumber="1" horizontalDpi="600" verticalDpi="600" orientation="portrait" paperSize="9" r:id="rId1"/>
  <headerFooter alignWithMargins="0">
    <oddHeader>&amp;C&amp;"Times New Roman CE,Félkövér"&amp;12
&amp;14K I M U T A T Á S
Vecsés Város Önkormányzat  2011. évi céljellegű támogatásairól&amp;R&amp;"Times New Roman CE,Félkövér dőlt"&amp;11 15. sz. melléklet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="120" zoomScaleSheetLayoutView="120" zoomScalePageLayoutView="0" workbookViewId="0" topLeftCell="A49">
      <selection activeCell="E14" sqref="E14"/>
    </sheetView>
  </sheetViews>
  <sheetFormatPr defaultColWidth="9.140625" defaultRowHeight="12.75"/>
  <cols>
    <col min="1" max="1" width="4.28125" style="1000" customWidth="1"/>
    <col min="2" max="2" width="7.28125" style="1000" customWidth="1"/>
    <col min="3" max="3" width="45.7109375" style="770" customWidth="1"/>
    <col min="4" max="4" width="10.57421875" style="1001" customWidth="1"/>
    <col min="5" max="5" width="8.57421875" style="1001" customWidth="1"/>
    <col min="6" max="6" width="9.28125" style="770" customWidth="1"/>
    <col min="7" max="7" width="13.421875" style="1002" customWidth="1"/>
    <col min="8" max="8" width="9.140625" style="770" customWidth="1"/>
    <col min="9" max="9" width="15.140625" style="770" bestFit="1" customWidth="1"/>
    <col min="10" max="10" width="15.8515625" style="770" bestFit="1" customWidth="1"/>
    <col min="11" max="16384" width="9.140625" style="770" customWidth="1"/>
  </cols>
  <sheetData>
    <row r="1" spans="1:7" ht="15.75" customHeight="1" thickBot="1">
      <c r="A1" s="1107" t="s">
        <v>773</v>
      </c>
      <c r="B1" s="1108"/>
      <c r="C1" s="1108"/>
      <c r="D1" s="769" t="s">
        <v>774</v>
      </c>
      <c r="E1" s="1111" t="s">
        <v>1134</v>
      </c>
      <c r="F1" s="1112"/>
      <c r="G1" s="1113"/>
    </row>
    <row r="2" spans="1:7" ht="48.75" thickBot="1">
      <c r="A2" s="1109"/>
      <c r="B2" s="1110"/>
      <c r="C2" s="1110"/>
      <c r="D2" s="771" t="s">
        <v>775</v>
      </c>
      <c r="E2" s="771" t="s">
        <v>775</v>
      </c>
      <c r="F2" s="772" t="s">
        <v>776</v>
      </c>
      <c r="G2" s="773" t="s">
        <v>777</v>
      </c>
    </row>
    <row r="3" spans="1:7" ht="21.75" customHeight="1" thickBot="1">
      <c r="A3" s="774" t="s">
        <v>238</v>
      </c>
      <c r="B3" s="775"/>
      <c r="C3" s="1114" t="s">
        <v>778</v>
      </c>
      <c r="D3" s="1114"/>
      <c r="E3" s="1114"/>
      <c r="F3" s="1114"/>
      <c r="G3" s="1115"/>
    </row>
    <row r="4" spans="1:7" s="782" customFormat="1" ht="36" customHeight="1">
      <c r="A4" s="776" t="s">
        <v>14</v>
      </c>
      <c r="B4" s="777" t="s">
        <v>14</v>
      </c>
      <c r="C4" s="778" t="s">
        <v>779</v>
      </c>
      <c r="D4" s="779">
        <v>1947</v>
      </c>
      <c r="E4" s="780">
        <v>2769</v>
      </c>
      <c r="F4" s="780">
        <v>20293</v>
      </c>
      <c r="G4" s="781">
        <f>SUM(E4*F4)</f>
        <v>56191317</v>
      </c>
    </row>
    <row r="5" spans="1:7" s="782" customFormat="1" ht="13.5" customHeight="1">
      <c r="A5" s="783" t="s">
        <v>19</v>
      </c>
      <c r="B5" s="784" t="s">
        <v>19</v>
      </c>
      <c r="C5" s="785" t="s">
        <v>780</v>
      </c>
      <c r="D5" s="786"/>
      <c r="E5" s="787"/>
      <c r="F5" s="788"/>
      <c r="G5" s="789">
        <f>SUM(G6,G10)</f>
        <v>21656182</v>
      </c>
    </row>
    <row r="6" spans="1:7" ht="13.5" customHeight="1">
      <c r="A6" s="790"/>
      <c r="B6" s="791" t="s">
        <v>781</v>
      </c>
      <c r="C6" s="792" t="s">
        <v>782</v>
      </c>
      <c r="D6" s="793"/>
      <c r="E6" s="794"/>
      <c r="F6" s="795"/>
      <c r="G6" s="796">
        <f>SUM(G7:G9)</f>
        <v>13733712</v>
      </c>
    </row>
    <row r="7" spans="1:7" ht="13.5" customHeight="1">
      <c r="A7" s="790"/>
      <c r="B7" s="797" t="s">
        <v>783</v>
      </c>
      <c r="C7" s="798" t="s">
        <v>784</v>
      </c>
      <c r="D7" s="793"/>
      <c r="E7" s="794"/>
      <c r="F7" s="795"/>
      <c r="G7" s="799">
        <v>3000000</v>
      </c>
    </row>
    <row r="8" spans="1:7" ht="15.75" customHeight="1">
      <c r="A8" s="790"/>
      <c r="B8" s="800" t="s">
        <v>785</v>
      </c>
      <c r="C8" s="798" t="s">
        <v>786</v>
      </c>
      <c r="D8" s="793">
        <v>276</v>
      </c>
      <c r="E8" s="794">
        <v>276</v>
      </c>
      <c r="F8" s="795">
        <v>25212</v>
      </c>
      <c r="G8" s="801">
        <f>SUM(E8*F8)</f>
        <v>6958512</v>
      </c>
    </row>
    <row r="9" spans="1:7" ht="13.5" customHeight="1">
      <c r="A9" s="790"/>
      <c r="B9" s="800" t="s">
        <v>787</v>
      </c>
      <c r="C9" s="798" t="s">
        <v>788</v>
      </c>
      <c r="D9" s="793">
        <v>229</v>
      </c>
      <c r="E9" s="794">
        <v>28600</v>
      </c>
      <c r="F9" s="795">
        <v>132</v>
      </c>
      <c r="G9" s="801">
        <f>SUM(E9*F9)</f>
        <v>3775200</v>
      </c>
    </row>
    <row r="10" spans="1:7" ht="13.5" customHeight="1">
      <c r="A10" s="790"/>
      <c r="B10" s="802" t="s">
        <v>789</v>
      </c>
      <c r="C10" s="803" t="s">
        <v>790</v>
      </c>
      <c r="D10" s="793"/>
      <c r="E10" s="804"/>
      <c r="F10" s="805"/>
      <c r="G10" s="806">
        <f>SUM(G11:G12)</f>
        <v>7922470</v>
      </c>
    </row>
    <row r="11" spans="1:7" ht="13.5" customHeight="1">
      <c r="A11" s="790"/>
      <c r="B11" s="800" t="s">
        <v>791</v>
      </c>
      <c r="C11" s="798" t="s">
        <v>792</v>
      </c>
      <c r="D11" s="793"/>
      <c r="E11" s="804">
        <v>56</v>
      </c>
      <c r="F11" s="805">
        <v>20293</v>
      </c>
      <c r="G11" s="801">
        <f>SUM(E11*F11)</f>
        <v>1136408</v>
      </c>
    </row>
    <row r="12" spans="1:7" ht="13.5" customHeight="1">
      <c r="A12" s="790"/>
      <c r="B12" s="800" t="s">
        <v>793</v>
      </c>
      <c r="C12" s="798" t="s">
        <v>794</v>
      </c>
      <c r="D12" s="793"/>
      <c r="E12" s="804">
        <v>878</v>
      </c>
      <c r="F12" s="805">
        <v>7729</v>
      </c>
      <c r="G12" s="801">
        <f>SUM(E12*F12)</f>
        <v>6786062</v>
      </c>
    </row>
    <row r="13" spans="1:7" s="782" customFormat="1" ht="15.75" customHeight="1">
      <c r="A13" s="783" t="s">
        <v>22</v>
      </c>
      <c r="B13" s="807" t="s">
        <v>23</v>
      </c>
      <c r="C13" s="808" t="s">
        <v>795</v>
      </c>
      <c r="D13" s="809">
        <v>2612</v>
      </c>
      <c r="E13" s="810">
        <v>2612</v>
      </c>
      <c r="F13" s="811">
        <v>88</v>
      </c>
      <c r="G13" s="812">
        <f>SUM(E13*F13)</f>
        <v>229856</v>
      </c>
    </row>
    <row r="14" spans="1:7" s="782" customFormat="1" ht="13.5" customHeight="1">
      <c r="A14" s="783" t="s">
        <v>1156</v>
      </c>
      <c r="B14" s="807" t="s">
        <v>540</v>
      </c>
      <c r="C14" s="813" t="s">
        <v>591</v>
      </c>
      <c r="D14" s="809"/>
      <c r="E14" s="810"/>
      <c r="F14" s="805">
        <v>20293</v>
      </c>
      <c r="G14" s="812">
        <v>97568744</v>
      </c>
    </row>
    <row r="15" spans="1:9" ht="15" customHeight="1">
      <c r="A15" s="814" t="s">
        <v>24</v>
      </c>
      <c r="B15" s="807" t="s">
        <v>712</v>
      </c>
      <c r="C15" s="808" t="s">
        <v>796</v>
      </c>
      <c r="D15" s="809"/>
      <c r="E15" s="815"/>
      <c r="F15" s="816"/>
      <c r="G15" s="812">
        <f>SUM(G22+G23+G16)</f>
        <v>53970870</v>
      </c>
      <c r="I15" s="817"/>
    </row>
    <row r="16" spans="1:7" ht="13.5" customHeight="1">
      <c r="A16" s="790"/>
      <c r="B16" s="818" t="s">
        <v>797</v>
      </c>
      <c r="C16" s="819" t="s">
        <v>798</v>
      </c>
      <c r="D16" s="820">
        <v>790</v>
      </c>
      <c r="E16" s="794">
        <v>790</v>
      </c>
      <c r="F16" s="795">
        <v>51429</v>
      </c>
      <c r="G16" s="801">
        <f>SUM(E16*F16)</f>
        <v>40628910</v>
      </c>
    </row>
    <row r="17" spans="1:7" ht="13.5" customHeight="1" hidden="1">
      <c r="A17" s="790"/>
      <c r="B17" s="818" t="s">
        <v>799</v>
      </c>
      <c r="C17" s="819" t="s">
        <v>800</v>
      </c>
      <c r="D17" s="793"/>
      <c r="E17" s="821"/>
      <c r="F17" s="822"/>
      <c r="G17" s="823">
        <f>SUM(D17*F17)</f>
        <v>0</v>
      </c>
    </row>
    <row r="18" spans="1:7" ht="13.5" customHeight="1" hidden="1">
      <c r="A18" s="790"/>
      <c r="B18" s="818" t="s">
        <v>801</v>
      </c>
      <c r="C18" s="819" t="s">
        <v>802</v>
      </c>
      <c r="D18" s="824"/>
      <c r="E18" s="824"/>
      <c r="F18" s="825"/>
      <c r="G18" s="826"/>
    </row>
    <row r="19" spans="1:7" ht="13.5" customHeight="1" hidden="1">
      <c r="A19" s="790"/>
      <c r="B19" s="818" t="s">
        <v>803</v>
      </c>
      <c r="C19" s="819" t="s">
        <v>804</v>
      </c>
      <c r="D19" s="824"/>
      <c r="E19" s="824"/>
      <c r="F19" s="825"/>
      <c r="G19" s="826"/>
    </row>
    <row r="20" spans="1:7" ht="13.5" customHeight="1" hidden="1">
      <c r="A20" s="790"/>
      <c r="B20" s="818" t="s">
        <v>805</v>
      </c>
      <c r="C20" s="819" t="s">
        <v>806</v>
      </c>
      <c r="D20" s="824"/>
      <c r="E20" s="824"/>
      <c r="F20" s="825"/>
      <c r="G20" s="826"/>
    </row>
    <row r="21" spans="1:7" ht="25.5" customHeight="1">
      <c r="A21" s="790"/>
      <c r="B21" s="827" t="s">
        <v>803</v>
      </c>
      <c r="C21" s="819" t="s">
        <v>807</v>
      </c>
      <c r="D21" s="793">
        <f>(221450*0.65)</f>
        <v>143942.5</v>
      </c>
      <c r="E21" s="824"/>
      <c r="F21" s="825"/>
      <c r="G21" s="828"/>
    </row>
    <row r="22" spans="1:9" ht="18" customHeight="1">
      <c r="A22" s="790"/>
      <c r="B22" s="818" t="s">
        <v>808</v>
      </c>
      <c r="C22" s="829" t="s">
        <v>809</v>
      </c>
      <c r="D22" s="830">
        <f>(221450*0.25)</f>
        <v>55362.5</v>
      </c>
      <c r="E22" s="831">
        <v>55360</v>
      </c>
      <c r="F22" s="832">
        <v>161</v>
      </c>
      <c r="G22" s="806">
        <f>SUM(E22*F22)</f>
        <v>8912960</v>
      </c>
      <c r="I22" s="833"/>
    </row>
    <row r="23" spans="1:7" ht="13.5" customHeight="1">
      <c r="A23" s="790"/>
      <c r="B23" s="818" t="s">
        <v>810</v>
      </c>
      <c r="C23" s="829" t="s">
        <v>811</v>
      </c>
      <c r="D23" s="830">
        <f>(221450*0.4)</f>
        <v>88580</v>
      </c>
      <c r="E23" s="831">
        <v>88580</v>
      </c>
      <c r="F23" s="832">
        <v>50</v>
      </c>
      <c r="G23" s="806">
        <f>SUM(E23*F23)</f>
        <v>4429000</v>
      </c>
    </row>
    <row r="24" spans="1:7" s="837" customFormat="1" ht="15.75" customHeight="1">
      <c r="A24" s="834" t="s">
        <v>26</v>
      </c>
      <c r="B24" s="835" t="s">
        <v>548</v>
      </c>
      <c r="C24" s="836" t="s">
        <v>812</v>
      </c>
      <c r="D24" s="809"/>
      <c r="E24" s="815"/>
      <c r="F24" s="816"/>
      <c r="G24" s="789">
        <f>SUM(G25:G26)</f>
        <v>12488500</v>
      </c>
    </row>
    <row r="25" spans="1:7" ht="13.5" customHeight="1">
      <c r="A25" s="838"/>
      <c r="B25" s="818" t="s">
        <v>813</v>
      </c>
      <c r="C25" s="819" t="s">
        <v>814</v>
      </c>
      <c r="D25" s="793">
        <v>494100</v>
      </c>
      <c r="E25" s="794">
        <v>494100</v>
      </c>
      <c r="F25" s="795">
        <v>25</v>
      </c>
      <c r="G25" s="801">
        <f>SUM(E25*F25)</f>
        <v>12352500</v>
      </c>
    </row>
    <row r="26" spans="1:7" ht="13.5" customHeight="1">
      <c r="A26" s="790"/>
      <c r="B26" s="818" t="s">
        <v>815</v>
      </c>
      <c r="C26" s="819" t="s">
        <v>816</v>
      </c>
      <c r="D26" s="793">
        <v>65000</v>
      </c>
      <c r="E26" s="794">
        <v>68000</v>
      </c>
      <c r="F26" s="795">
        <v>2</v>
      </c>
      <c r="G26" s="801">
        <f>SUM(E26*F26)</f>
        <v>136000</v>
      </c>
    </row>
    <row r="27" spans="1:7" s="782" customFormat="1" ht="31.5">
      <c r="A27" s="814" t="s">
        <v>28</v>
      </c>
      <c r="B27" s="839" t="s">
        <v>549</v>
      </c>
      <c r="C27" s="813" t="s">
        <v>817</v>
      </c>
      <c r="D27" s="786"/>
      <c r="E27" s="840"/>
      <c r="F27" s="841"/>
      <c r="G27" s="789">
        <f>SUM(G34+G28+G35+G29)</f>
        <v>425741668</v>
      </c>
    </row>
    <row r="28" spans="1:7" s="845" customFormat="1" ht="13.5">
      <c r="A28" s="842"/>
      <c r="B28" s="843" t="s">
        <v>818</v>
      </c>
      <c r="C28" s="829" t="s">
        <v>819</v>
      </c>
      <c r="D28" s="844"/>
      <c r="E28" s="844"/>
      <c r="F28" s="832">
        <v>665</v>
      </c>
      <c r="G28" s="806">
        <v>124001666</v>
      </c>
    </row>
    <row r="29" spans="1:7" ht="13.5" customHeight="1">
      <c r="A29" s="838"/>
      <c r="B29" s="846"/>
      <c r="C29" s="1008" t="s">
        <v>820</v>
      </c>
      <c r="D29" s="867"/>
      <c r="E29" s="867"/>
      <c r="F29" s="1009">
        <f>SUM(F30,F31)</f>
        <v>1656</v>
      </c>
      <c r="G29" s="1010">
        <f>SUM(G30+G31)</f>
        <v>275263335</v>
      </c>
    </row>
    <row r="30" spans="1:7" ht="13.5" customHeight="1">
      <c r="A30" s="790"/>
      <c r="B30" s="847" t="s">
        <v>821</v>
      </c>
      <c r="C30" s="1011" t="s">
        <v>822</v>
      </c>
      <c r="D30" s="1012"/>
      <c r="E30" s="1012"/>
      <c r="F30" s="1013">
        <v>1371</v>
      </c>
      <c r="G30" s="863">
        <v>212675001</v>
      </c>
    </row>
    <row r="31" spans="1:7" ht="13.5" customHeight="1">
      <c r="A31" s="790"/>
      <c r="B31" s="846" t="s">
        <v>823</v>
      </c>
      <c r="C31" s="1004" t="s">
        <v>824</v>
      </c>
      <c r="D31" s="1007"/>
      <c r="E31" s="1007"/>
      <c r="F31" s="1005">
        <v>285</v>
      </c>
      <c r="G31" s="1006">
        <v>62588334</v>
      </c>
    </row>
    <row r="32" spans="1:7" ht="13.5" customHeight="1" hidden="1">
      <c r="A32" s="790"/>
      <c r="B32" s="846" t="s">
        <v>825</v>
      </c>
      <c r="C32" s="849" t="s">
        <v>826</v>
      </c>
      <c r="D32" s="830"/>
      <c r="E32" s="830"/>
      <c r="F32" s="832"/>
      <c r="G32" s="806"/>
    </row>
    <row r="33" spans="1:7" ht="13.5" customHeight="1" hidden="1">
      <c r="A33" s="790"/>
      <c r="B33" s="850" t="s">
        <v>827</v>
      </c>
      <c r="C33" s="829" t="s">
        <v>828</v>
      </c>
      <c r="D33" s="830"/>
      <c r="E33" s="830"/>
      <c r="F33" s="832"/>
      <c r="G33" s="806"/>
    </row>
    <row r="34" spans="1:7" s="845" customFormat="1" ht="13.5" customHeight="1">
      <c r="A34" s="842"/>
      <c r="B34" s="843" t="s">
        <v>829</v>
      </c>
      <c r="C34" s="829" t="s">
        <v>830</v>
      </c>
      <c r="D34" s="844"/>
      <c r="E34" s="844"/>
      <c r="F34" s="832">
        <v>197</v>
      </c>
      <c r="G34" s="806">
        <v>13316667</v>
      </c>
    </row>
    <row r="35" spans="1:7" s="854" customFormat="1" ht="13.5" customHeight="1">
      <c r="A35" s="851"/>
      <c r="B35" s="852" t="s">
        <v>831</v>
      </c>
      <c r="C35" s="829" t="s">
        <v>832</v>
      </c>
      <c r="D35" s="853"/>
      <c r="E35" s="853"/>
      <c r="F35" s="832">
        <v>447</v>
      </c>
      <c r="G35" s="806">
        <v>13160000</v>
      </c>
    </row>
    <row r="36" spans="1:7" ht="13.5" customHeight="1" hidden="1">
      <c r="A36" s="790"/>
      <c r="B36" s="846" t="s">
        <v>833</v>
      </c>
      <c r="C36" s="855" t="s">
        <v>834</v>
      </c>
      <c r="D36" s="793">
        <v>0</v>
      </c>
      <c r="E36" s="794"/>
      <c r="F36" s="856"/>
      <c r="G36" s="857">
        <f>SUM(D36*F36)</f>
        <v>0</v>
      </c>
    </row>
    <row r="37" spans="1:7" ht="16.5" customHeight="1">
      <c r="A37" s="814" t="s">
        <v>711</v>
      </c>
      <c r="B37" s="835" t="s">
        <v>550</v>
      </c>
      <c r="C37" s="836" t="s">
        <v>835</v>
      </c>
      <c r="D37" s="793"/>
      <c r="E37" s="794"/>
      <c r="F37" s="795"/>
      <c r="G37" s="858">
        <f>SUM(G38,G41,G42,G43,G44,G45,G46)</f>
        <v>55926000</v>
      </c>
    </row>
    <row r="38" spans="1:7" ht="13.5" customHeight="1">
      <c r="A38" s="790"/>
      <c r="B38" s="846" t="s">
        <v>836</v>
      </c>
      <c r="C38" s="848" t="s">
        <v>837</v>
      </c>
      <c r="D38" s="830">
        <v>40000</v>
      </c>
      <c r="E38" s="831">
        <v>40000</v>
      </c>
      <c r="F38" s="832">
        <f>SUM(F39:F40)</f>
        <v>927</v>
      </c>
      <c r="G38" s="806">
        <f>SUM(G39:G40)</f>
        <v>37080000</v>
      </c>
    </row>
    <row r="39" spans="1:7" ht="13.5" customHeight="1">
      <c r="A39" s="790"/>
      <c r="B39" s="846"/>
      <c r="C39" s="859" t="s">
        <v>819</v>
      </c>
      <c r="D39" s="860">
        <v>40000</v>
      </c>
      <c r="E39" s="861">
        <v>40000</v>
      </c>
      <c r="F39" s="862">
        <v>260</v>
      </c>
      <c r="G39" s="863">
        <v>10200000</v>
      </c>
    </row>
    <row r="40" spans="1:9" ht="13.5" customHeight="1">
      <c r="A40" s="790"/>
      <c r="B40" s="846"/>
      <c r="C40" s="859" t="s">
        <v>822</v>
      </c>
      <c r="D40" s="860">
        <v>40000</v>
      </c>
      <c r="E40" s="861">
        <v>40000</v>
      </c>
      <c r="F40" s="864">
        <v>667</v>
      </c>
      <c r="G40" s="863">
        <v>26880000</v>
      </c>
      <c r="I40" s="865"/>
    </row>
    <row r="41" spans="1:7" ht="13.5" customHeight="1">
      <c r="A41" s="790"/>
      <c r="B41" s="843" t="s">
        <v>838</v>
      </c>
      <c r="C41" s="866" t="s">
        <v>839</v>
      </c>
      <c r="D41" s="867">
        <v>64000</v>
      </c>
      <c r="E41" s="868">
        <v>64000</v>
      </c>
      <c r="F41" s="869">
        <v>80</v>
      </c>
      <c r="G41" s="796">
        <v>5653333</v>
      </c>
    </row>
    <row r="42" spans="1:7" ht="13.5" customHeight="1">
      <c r="A42" s="790"/>
      <c r="B42" s="843" t="s">
        <v>838</v>
      </c>
      <c r="C42" s="866" t="s">
        <v>840</v>
      </c>
      <c r="D42" s="870">
        <v>64000</v>
      </c>
      <c r="E42" s="871">
        <v>64000</v>
      </c>
      <c r="F42" s="872">
        <v>34</v>
      </c>
      <c r="G42" s="796">
        <v>2176000</v>
      </c>
    </row>
    <row r="43" spans="1:7" ht="13.5" customHeight="1">
      <c r="A43" s="790"/>
      <c r="B43" s="873" t="s">
        <v>841</v>
      </c>
      <c r="C43" s="792" t="s">
        <v>842</v>
      </c>
      <c r="D43" s="874"/>
      <c r="E43" s="875"/>
      <c r="F43" s="876">
        <v>197</v>
      </c>
      <c r="G43" s="806">
        <v>5787667</v>
      </c>
    </row>
    <row r="44" spans="1:7" ht="13.5" customHeight="1">
      <c r="A44" s="790"/>
      <c r="B44" s="877" t="s">
        <v>843</v>
      </c>
      <c r="C44" s="792" t="s">
        <v>844</v>
      </c>
      <c r="D44" s="878"/>
      <c r="E44" s="875">
        <v>6000</v>
      </c>
      <c r="F44" s="876">
        <v>57</v>
      </c>
      <c r="G44" s="806">
        <f>SUM(E44*F44)</f>
        <v>342000</v>
      </c>
    </row>
    <row r="45" spans="1:7" ht="13.5" customHeight="1">
      <c r="A45" s="790"/>
      <c r="B45" s="877" t="s">
        <v>845</v>
      </c>
      <c r="C45" s="792" t="s">
        <v>846</v>
      </c>
      <c r="D45" s="878"/>
      <c r="E45" s="875">
        <v>1750</v>
      </c>
      <c r="F45" s="876">
        <v>1656</v>
      </c>
      <c r="G45" s="806">
        <f>SUM(E45*F45)</f>
        <v>2898000</v>
      </c>
    </row>
    <row r="46" spans="1:7" ht="13.5" customHeight="1">
      <c r="A46" s="790"/>
      <c r="B46" s="873" t="s">
        <v>847</v>
      </c>
      <c r="C46" s="792" t="s">
        <v>848</v>
      </c>
      <c r="D46" s="874">
        <v>15300</v>
      </c>
      <c r="E46" s="875">
        <v>15300</v>
      </c>
      <c r="F46" s="876">
        <v>126</v>
      </c>
      <c r="G46" s="806">
        <v>1989000</v>
      </c>
    </row>
    <row r="47" spans="1:9" ht="13.5" customHeight="1" hidden="1">
      <c r="A47" s="790"/>
      <c r="B47" s="873" t="s">
        <v>849</v>
      </c>
      <c r="C47" s="879" t="s">
        <v>850</v>
      </c>
      <c r="D47" s="880"/>
      <c r="E47" s="881"/>
      <c r="F47" s="882"/>
      <c r="G47" s="883"/>
      <c r="I47" s="865"/>
    </row>
    <row r="48" spans="1:7" ht="13.5" customHeight="1" hidden="1">
      <c r="A48" s="790"/>
      <c r="B48" s="884" t="s">
        <v>851</v>
      </c>
      <c r="C48" s="879" t="s">
        <v>852</v>
      </c>
      <c r="D48" s="885"/>
      <c r="E48" s="886"/>
      <c r="F48" s="887"/>
      <c r="G48" s="888"/>
    </row>
    <row r="49" spans="1:9" ht="15.75" customHeight="1">
      <c r="A49" s="834" t="s">
        <v>540</v>
      </c>
      <c r="B49" s="835" t="s">
        <v>551</v>
      </c>
      <c r="C49" s="836" t="s">
        <v>853</v>
      </c>
      <c r="D49" s="885"/>
      <c r="E49" s="886"/>
      <c r="F49" s="887"/>
      <c r="G49" s="858">
        <f>SUM(G50+G57+G54)</f>
        <v>36676000</v>
      </c>
      <c r="I49" s="817"/>
    </row>
    <row r="50" spans="1:7" s="837" customFormat="1" ht="13.5" customHeight="1">
      <c r="A50" s="889"/>
      <c r="B50" s="890" t="s">
        <v>854</v>
      </c>
      <c r="C50" s="866" t="s">
        <v>855</v>
      </c>
      <c r="D50" s="891"/>
      <c r="E50" s="892"/>
      <c r="F50" s="869">
        <f>SUM(F51:F53)</f>
        <v>452</v>
      </c>
      <c r="G50" s="796">
        <f>SUM(G51:G53)</f>
        <v>30736000</v>
      </c>
    </row>
    <row r="51" spans="1:7" s="845" customFormat="1" ht="13.5">
      <c r="A51" s="842"/>
      <c r="B51" s="890"/>
      <c r="C51" s="879" t="s">
        <v>856</v>
      </c>
      <c r="D51" s="885">
        <v>65000</v>
      </c>
      <c r="E51" s="886">
        <v>68000</v>
      </c>
      <c r="F51" s="887">
        <v>149</v>
      </c>
      <c r="G51" s="863">
        <f>SUM(E51*F51)</f>
        <v>10132000</v>
      </c>
    </row>
    <row r="52" spans="1:7" s="845" customFormat="1" ht="13.5">
      <c r="A52" s="842"/>
      <c r="B52" s="890"/>
      <c r="C52" s="893" t="s">
        <v>857</v>
      </c>
      <c r="D52" s="885">
        <v>65000</v>
      </c>
      <c r="E52" s="886">
        <v>68000</v>
      </c>
      <c r="F52" s="887">
        <v>293</v>
      </c>
      <c r="G52" s="863">
        <f>SUM(E52*F52)</f>
        <v>19924000</v>
      </c>
    </row>
    <row r="53" spans="1:7" ht="13.5" customHeight="1">
      <c r="A53" s="790"/>
      <c r="B53" s="894"/>
      <c r="C53" s="893" t="s">
        <v>858</v>
      </c>
      <c r="D53" s="885">
        <v>65000</v>
      </c>
      <c r="E53" s="886">
        <v>68000</v>
      </c>
      <c r="F53" s="887">
        <v>10</v>
      </c>
      <c r="G53" s="863">
        <f>SUM(E53*F53)</f>
        <v>680000</v>
      </c>
    </row>
    <row r="54" spans="1:7" ht="16.5" customHeight="1">
      <c r="A54" s="895"/>
      <c r="B54" s="896"/>
      <c r="C54" s="897" t="s">
        <v>859</v>
      </c>
      <c r="D54" s="898">
        <v>20000</v>
      </c>
      <c r="E54" s="899"/>
      <c r="F54" s="900"/>
      <c r="G54" s="901"/>
    </row>
    <row r="55" spans="1:7" ht="13.5" customHeight="1" hidden="1">
      <c r="A55" s="790"/>
      <c r="B55" s="902"/>
      <c r="C55" s="903"/>
      <c r="D55" s="904"/>
      <c r="E55" s="905"/>
      <c r="F55" s="906"/>
      <c r="G55" s="907"/>
    </row>
    <row r="56" spans="1:7" ht="13.5" customHeight="1" hidden="1">
      <c r="A56" s="790"/>
      <c r="B56" s="877"/>
      <c r="C56" s="908" t="s">
        <v>860</v>
      </c>
      <c r="D56" s="880"/>
      <c r="E56" s="881"/>
      <c r="F56" s="882"/>
      <c r="G56" s="883"/>
    </row>
    <row r="57" spans="1:7" s="845" customFormat="1" ht="13.5">
      <c r="A57" s="842"/>
      <c r="B57" s="890" t="s">
        <v>861</v>
      </c>
      <c r="C57" s="866" t="s">
        <v>862</v>
      </c>
      <c r="D57" s="885"/>
      <c r="E57" s="886"/>
      <c r="F57" s="887"/>
      <c r="G57" s="909">
        <f>SUM(G58:G59)</f>
        <v>5940000</v>
      </c>
    </row>
    <row r="58" spans="1:7" s="911" customFormat="1" ht="12.75">
      <c r="A58" s="790"/>
      <c r="B58" s="877" t="s">
        <v>863</v>
      </c>
      <c r="C58" s="910" t="s">
        <v>864</v>
      </c>
      <c r="D58" s="880">
        <v>10000</v>
      </c>
      <c r="E58" s="881">
        <v>12000</v>
      </c>
      <c r="F58" s="882">
        <v>495</v>
      </c>
      <c r="G58" s="801">
        <f>SUM(E58*F58)</f>
        <v>5940000</v>
      </c>
    </row>
    <row r="59" spans="1:7" ht="13.5" customHeight="1" thickBot="1">
      <c r="A59" s="790"/>
      <c r="B59" s="894" t="s">
        <v>865</v>
      </c>
      <c r="C59" s="910" t="s">
        <v>866</v>
      </c>
      <c r="D59" s="912">
        <v>1000</v>
      </c>
      <c r="E59" s="913"/>
      <c r="F59" s="914"/>
      <c r="G59" s="915"/>
    </row>
    <row r="60" spans="1:7" s="837" customFormat="1" ht="16.5" thickBot="1">
      <c r="A60" s="916"/>
      <c r="B60" s="1116" t="s">
        <v>867</v>
      </c>
      <c r="C60" s="1117"/>
      <c r="D60" s="918"/>
      <c r="E60" s="918"/>
      <c r="F60" s="919"/>
      <c r="G60" s="920">
        <f>SUM(G4+G5+G13+G14+G15+G24+G27+G37+G49)</f>
        <v>760449137</v>
      </c>
    </row>
    <row r="61" spans="1:7" ht="13.5" customHeight="1" hidden="1">
      <c r="A61" s="921"/>
      <c r="B61" s="895"/>
      <c r="C61" s="922"/>
      <c r="D61" s="923"/>
      <c r="E61" s="923"/>
      <c r="F61" s="924"/>
      <c r="G61" s="925"/>
    </row>
    <row r="62" spans="1:7" ht="13.5" customHeight="1" hidden="1">
      <c r="A62" s="921"/>
      <c r="B62" s="926"/>
      <c r="C62" s="927"/>
      <c r="D62" s="928"/>
      <c r="E62" s="928"/>
      <c r="F62" s="929"/>
      <c r="G62" s="930"/>
    </row>
    <row r="63" spans="1:7" ht="13.5" customHeight="1" hidden="1">
      <c r="A63" s="921"/>
      <c r="B63" s="790"/>
      <c r="C63" s="931"/>
      <c r="D63" s="928"/>
      <c r="E63" s="928"/>
      <c r="F63" s="929"/>
      <c r="G63" s="930"/>
    </row>
    <row r="64" spans="1:7" ht="13.5" customHeight="1" hidden="1">
      <c r="A64" s="921"/>
      <c r="B64" s="932"/>
      <c r="C64" s="931"/>
      <c r="D64" s="933"/>
      <c r="E64" s="933"/>
      <c r="F64" s="934"/>
      <c r="G64" s="858"/>
    </row>
    <row r="65" spans="1:7" ht="13.5" customHeight="1" hidden="1">
      <c r="A65" s="921"/>
      <c r="B65" s="932"/>
      <c r="C65" s="931"/>
      <c r="D65" s="933"/>
      <c r="E65" s="933"/>
      <c r="F65" s="934"/>
      <c r="G65" s="925"/>
    </row>
    <row r="66" spans="1:7" ht="13.5" customHeight="1" hidden="1">
      <c r="A66" s="921"/>
      <c r="B66" s="932"/>
      <c r="C66" s="935"/>
      <c r="D66" s="933"/>
      <c r="E66" s="933"/>
      <c r="F66" s="934"/>
      <c r="G66" s="925"/>
    </row>
    <row r="67" spans="1:7" ht="13.5" customHeight="1" hidden="1" thickBot="1">
      <c r="A67" s="921"/>
      <c r="B67" s="926"/>
      <c r="C67" s="936"/>
      <c r="D67" s="937"/>
      <c r="E67" s="937"/>
      <c r="F67" s="938"/>
      <c r="G67" s="939"/>
    </row>
    <row r="68" spans="1:7" s="837" customFormat="1" ht="32.25" hidden="1" thickBot="1">
      <c r="A68" s="940"/>
      <c r="B68" s="941"/>
      <c r="C68" s="942" t="s">
        <v>868</v>
      </c>
      <c r="D68" s="918"/>
      <c r="E68" s="918"/>
      <c r="F68" s="943"/>
      <c r="G68" s="944"/>
    </row>
    <row r="69" spans="1:7" s="837" customFormat="1" ht="29.25" customHeight="1" hidden="1" thickBot="1">
      <c r="A69" s="945" t="s">
        <v>712</v>
      </c>
      <c r="B69" s="946" t="s">
        <v>869</v>
      </c>
      <c r="C69" s="947" t="s">
        <v>870</v>
      </c>
      <c r="D69" s="947"/>
      <c r="E69" s="948"/>
      <c r="F69" s="949"/>
      <c r="G69" s="950"/>
    </row>
    <row r="70" spans="1:7" s="911" customFormat="1" ht="15.75" hidden="1" thickBot="1">
      <c r="A70" s="790"/>
      <c r="B70" s="873"/>
      <c r="C70" s="951" t="s">
        <v>871</v>
      </c>
      <c r="D70" s="898"/>
      <c r="E70" s="898"/>
      <c r="F70" s="952"/>
      <c r="G70" s="857"/>
    </row>
    <row r="71" spans="1:7" s="911" customFormat="1" ht="15.75" hidden="1" thickBot="1">
      <c r="A71" s="790"/>
      <c r="B71" s="873"/>
      <c r="C71" s="951" t="s">
        <v>872</v>
      </c>
      <c r="D71" s="898"/>
      <c r="E71" s="898"/>
      <c r="F71" s="952"/>
      <c r="G71" s="857"/>
    </row>
    <row r="72" spans="1:7" s="911" customFormat="1" ht="15.75" hidden="1" thickBot="1">
      <c r="A72" s="790"/>
      <c r="B72" s="953"/>
      <c r="C72" s="954" t="s">
        <v>1158</v>
      </c>
      <c r="D72" s="954"/>
      <c r="E72" s="954"/>
      <c r="F72" s="954"/>
      <c r="G72" s="883"/>
    </row>
    <row r="73" spans="1:10" s="956" customFormat="1" ht="19.5" customHeight="1" thickBot="1">
      <c r="A73" s="1094" t="s">
        <v>873</v>
      </c>
      <c r="B73" s="1095"/>
      <c r="C73" s="1095"/>
      <c r="D73" s="955"/>
      <c r="E73" s="955"/>
      <c r="F73" s="1096">
        <f>SUM(G69+G60)</f>
        <v>760449137</v>
      </c>
      <c r="G73" s="1097"/>
      <c r="J73" s="957"/>
    </row>
    <row r="74" spans="1:7" ht="22.5" customHeight="1" thickBot="1">
      <c r="A74" s="917" t="s">
        <v>270</v>
      </c>
      <c r="B74" s="958"/>
      <c r="C74" s="959" t="s">
        <v>874</v>
      </c>
      <c r="D74" s="960"/>
      <c r="E74" s="960"/>
      <c r="F74" s="961"/>
      <c r="G74" s="962"/>
    </row>
    <row r="75" spans="1:7" s="837" customFormat="1" ht="13.5" customHeight="1">
      <c r="A75" s="963" t="s">
        <v>14</v>
      </c>
      <c r="B75" s="964" t="s">
        <v>875</v>
      </c>
      <c r="C75" s="965" t="s">
        <v>876</v>
      </c>
      <c r="D75" s="966"/>
      <c r="E75" s="875">
        <v>10500</v>
      </c>
      <c r="F75" s="967">
        <v>177</v>
      </c>
      <c r="G75" s="968">
        <v>1858500</v>
      </c>
    </row>
    <row r="76" spans="1:7" ht="13.5" customHeight="1" hidden="1">
      <c r="A76" s="969" t="s">
        <v>19</v>
      </c>
      <c r="B76" s="895" t="s">
        <v>877</v>
      </c>
      <c r="C76" s="965" t="s">
        <v>878</v>
      </c>
      <c r="D76" s="878"/>
      <c r="E76" s="878"/>
      <c r="F76" s="970"/>
      <c r="G76" s="968">
        <f aca="true" t="shared" si="0" ref="G76:G88">SUM(E76*F76)</f>
        <v>0</v>
      </c>
    </row>
    <row r="77" spans="1:7" ht="13.5" customHeight="1" hidden="1">
      <c r="A77" s="969" t="s">
        <v>22</v>
      </c>
      <c r="B77" s="895"/>
      <c r="C77" s="965" t="s">
        <v>879</v>
      </c>
      <c r="D77" s="878"/>
      <c r="E77" s="878"/>
      <c r="F77" s="970"/>
      <c r="G77" s="968">
        <f t="shared" si="0"/>
        <v>0</v>
      </c>
    </row>
    <row r="78" spans="1:7" ht="13.5" customHeight="1" hidden="1">
      <c r="A78" s="969" t="s">
        <v>1156</v>
      </c>
      <c r="B78" s="895"/>
      <c r="C78" s="965" t="s">
        <v>880</v>
      </c>
      <c r="D78" s="878"/>
      <c r="E78" s="878"/>
      <c r="F78" s="970"/>
      <c r="G78" s="968">
        <f t="shared" si="0"/>
        <v>0</v>
      </c>
    </row>
    <row r="79" spans="1:7" ht="13.5" customHeight="1" hidden="1">
      <c r="A79" s="969" t="s">
        <v>23</v>
      </c>
      <c r="B79" s="895" t="s">
        <v>22</v>
      </c>
      <c r="C79" s="965" t="s">
        <v>881</v>
      </c>
      <c r="D79" s="830"/>
      <c r="E79" s="830"/>
      <c r="F79" s="832"/>
      <c r="G79" s="968">
        <f t="shared" si="0"/>
        <v>0</v>
      </c>
    </row>
    <row r="80" spans="1:7" ht="13.5" customHeight="1" hidden="1">
      <c r="A80" s="969" t="s">
        <v>24</v>
      </c>
      <c r="B80" s="895" t="s">
        <v>882</v>
      </c>
      <c r="C80" s="965" t="s">
        <v>883</v>
      </c>
      <c r="D80" s="830">
        <v>0</v>
      </c>
      <c r="E80" s="830"/>
      <c r="F80" s="832">
        <v>0</v>
      </c>
      <c r="G80" s="968">
        <f t="shared" si="0"/>
        <v>0</v>
      </c>
    </row>
    <row r="81" spans="1:7" ht="13.5" customHeight="1" hidden="1">
      <c r="A81" s="969" t="s">
        <v>26</v>
      </c>
      <c r="B81" s="932" t="s">
        <v>884</v>
      </c>
      <c r="C81" s="965" t="s">
        <v>883</v>
      </c>
      <c r="D81" s="830">
        <v>0</v>
      </c>
      <c r="E81" s="830"/>
      <c r="F81" s="832">
        <v>0</v>
      </c>
      <c r="G81" s="968">
        <f t="shared" si="0"/>
        <v>0</v>
      </c>
    </row>
    <row r="82" spans="1:7" ht="13.5" customHeight="1" hidden="1">
      <c r="A82" s="969" t="s">
        <v>28</v>
      </c>
      <c r="B82" s="932" t="s">
        <v>885</v>
      </c>
      <c r="C82" s="971" t="s">
        <v>886</v>
      </c>
      <c r="D82" s="830">
        <v>0</v>
      </c>
      <c r="E82" s="830"/>
      <c r="F82" s="832">
        <v>0</v>
      </c>
      <c r="G82" s="968">
        <f t="shared" si="0"/>
        <v>0</v>
      </c>
    </row>
    <row r="83" spans="1:7" ht="13.5" customHeight="1" hidden="1">
      <c r="A83" s="969" t="s">
        <v>711</v>
      </c>
      <c r="B83" s="932" t="s">
        <v>1156</v>
      </c>
      <c r="C83" s="971" t="s">
        <v>887</v>
      </c>
      <c r="D83" s="878"/>
      <c r="E83" s="878"/>
      <c r="F83" s="970"/>
      <c r="G83" s="968">
        <f t="shared" si="0"/>
        <v>0</v>
      </c>
    </row>
    <row r="84" spans="1:7" ht="13.5" customHeight="1" hidden="1">
      <c r="A84" s="969" t="s">
        <v>540</v>
      </c>
      <c r="B84" s="932" t="s">
        <v>23</v>
      </c>
      <c r="C84" s="971" t="s">
        <v>886</v>
      </c>
      <c r="D84" s="878"/>
      <c r="E84" s="878"/>
      <c r="F84" s="970"/>
      <c r="G84" s="968">
        <f t="shared" si="0"/>
        <v>0</v>
      </c>
    </row>
    <row r="85" spans="1:7" ht="13.5" customHeight="1" hidden="1">
      <c r="A85" s="969" t="s">
        <v>712</v>
      </c>
      <c r="B85" s="932"/>
      <c r="C85" s="972" t="s">
        <v>888</v>
      </c>
      <c r="D85" s="878"/>
      <c r="E85" s="878"/>
      <c r="F85" s="934"/>
      <c r="G85" s="968">
        <f t="shared" si="0"/>
        <v>0</v>
      </c>
    </row>
    <row r="86" spans="1:7" ht="13.5" customHeight="1" hidden="1">
      <c r="A86" s="969" t="s">
        <v>713</v>
      </c>
      <c r="B86" s="973" t="s">
        <v>26</v>
      </c>
      <c r="C86" s="935" t="s">
        <v>889</v>
      </c>
      <c r="D86" s="878"/>
      <c r="E86" s="878"/>
      <c r="F86" s="970"/>
      <c r="G86" s="968">
        <f t="shared" si="0"/>
        <v>0</v>
      </c>
    </row>
    <row r="87" spans="1:7" ht="13.5" customHeight="1">
      <c r="A87" s="921"/>
      <c r="B87" s="973" t="s">
        <v>890</v>
      </c>
      <c r="C87" s="935" t="s">
        <v>891</v>
      </c>
      <c r="D87" s="878"/>
      <c r="E87" s="875">
        <v>26000</v>
      </c>
      <c r="F87" s="875">
        <v>64</v>
      </c>
      <c r="G87" s="968">
        <v>1681333</v>
      </c>
    </row>
    <row r="88" spans="1:7" ht="13.5" customHeight="1">
      <c r="A88" s="974" t="s">
        <v>19</v>
      </c>
      <c r="B88" s="973" t="s">
        <v>892</v>
      </c>
      <c r="C88" s="935" t="s">
        <v>1159</v>
      </c>
      <c r="D88" s="830">
        <v>9400</v>
      </c>
      <c r="E88" s="830">
        <v>9400</v>
      </c>
      <c r="F88" s="832">
        <v>39</v>
      </c>
      <c r="G88" s="968">
        <f t="shared" si="0"/>
        <v>366600</v>
      </c>
    </row>
    <row r="89" spans="1:7" ht="19.5" customHeight="1" thickBot="1">
      <c r="A89" s="1099" t="s">
        <v>873</v>
      </c>
      <c r="B89" s="1100"/>
      <c r="C89" s="1101"/>
      <c r="D89" s="975"/>
      <c r="E89" s="975"/>
      <c r="F89" s="976"/>
      <c r="G89" s="977">
        <f>SUM(G75:G88)</f>
        <v>3906433</v>
      </c>
    </row>
    <row r="90" spans="1:7" ht="22.5" customHeight="1" thickBot="1">
      <c r="A90" s="978" t="s">
        <v>272</v>
      </c>
      <c r="B90" s="979"/>
      <c r="C90" s="980" t="s">
        <v>893</v>
      </c>
      <c r="D90" s="981"/>
      <c r="E90" s="982"/>
      <c r="F90" s="983"/>
      <c r="G90" s="984">
        <v>302247520</v>
      </c>
    </row>
    <row r="91" spans="1:9" ht="33" customHeight="1">
      <c r="A91" s="985" t="s">
        <v>277</v>
      </c>
      <c r="B91" s="932"/>
      <c r="C91" s="986" t="s">
        <v>590</v>
      </c>
      <c r="D91" s="793"/>
      <c r="E91" s="987"/>
      <c r="F91" s="988"/>
      <c r="G91" s="989">
        <v>-25041562</v>
      </c>
      <c r="I91" s="817"/>
    </row>
    <row r="92" spans="1:7" ht="23.25" customHeight="1" thickBot="1">
      <c r="A92" s="990" t="s">
        <v>280</v>
      </c>
      <c r="B92" s="991"/>
      <c r="C92" s="992" t="s">
        <v>894</v>
      </c>
      <c r="D92" s="993"/>
      <c r="E92" s="994"/>
      <c r="F92" s="995"/>
      <c r="G92" s="996">
        <v>0</v>
      </c>
    </row>
    <row r="93" spans="1:10" ht="27" customHeight="1" thickBot="1">
      <c r="A93" s="1102" t="s">
        <v>895</v>
      </c>
      <c r="B93" s="1103"/>
      <c r="C93" s="1103"/>
      <c r="D93" s="1104"/>
      <c r="E93" s="1104"/>
      <c r="F93" s="1105">
        <f>SUM(G60+G69+G89+G90+G91)</f>
        <v>1041561528</v>
      </c>
      <c r="G93" s="1106"/>
      <c r="I93" s="1098"/>
      <c r="J93" s="1098"/>
    </row>
    <row r="94" spans="1:7" ht="13.5" customHeight="1" thickBot="1">
      <c r="A94" s="997"/>
      <c r="B94" s="998"/>
      <c r="C94" s="998"/>
      <c r="D94" s="998"/>
      <c r="E94" s="999"/>
      <c r="F94" s="1091"/>
      <c r="G94" s="1092"/>
    </row>
    <row r="95" ht="12.75">
      <c r="I95" s="1003"/>
    </row>
    <row r="97" spans="6:7" ht="12.75">
      <c r="F97" s="1093">
        <v>1041561528</v>
      </c>
      <c r="G97" s="1093"/>
    </row>
    <row r="99" spans="4:7" ht="15" customHeight="1">
      <c r="D99" s="782"/>
      <c r="F99" s="1090"/>
      <c r="G99" s="1090"/>
    </row>
    <row r="100" spans="5:7" ht="12.75">
      <c r="E100" s="1001" t="s">
        <v>896</v>
      </c>
      <c r="G100" s="1002">
        <f>SUM(F93-F97)</f>
        <v>0</v>
      </c>
    </row>
  </sheetData>
  <sheetProtection/>
  <mergeCells count="13">
    <mergeCell ref="A1:C2"/>
    <mergeCell ref="E1:G1"/>
    <mergeCell ref="C3:G3"/>
    <mergeCell ref="B60:C60"/>
    <mergeCell ref="F99:G99"/>
    <mergeCell ref="F94:G94"/>
    <mergeCell ref="F97:G97"/>
    <mergeCell ref="A73:C73"/>
    <mergeCell ref="F73:G73"/>
    <mergeCell ref="I93:J93"/>
    <mergeCell ref="A89:C89"/>
    <mergeCell ref="A93:E93"/>
    <mergeCell ref="F93:G93"/>
  </mergeCells>
  <printOptions horizontalCentered="1"/>
  <pageMargins left="0.3937007874015748" right="0" top="0.9055118110236221" bottom="0.5905511811023623" header="0.35433070866141736" footer="0.5905511811023623"/>
  <pageSetup firstPageNumber="33" useFirstPageNumber="1" horizontalDpi="300" verticalDpi="300" orientation="portrait" paperSize="9" scale="90" r:id="rId1"/>
  <headerFooter alignWithMargins="0">
    <oddHeader>&amp;C&amp;"Times New Roman,Félkövér"&amp;14
Vecsés Város Önkormányzat 2011. évi központi költségvetési támogatások tervezete &amp;R1/b. számú melléklet
</oddHeader>
    <oddFooter>&amp;C-&amp;P -</oddFooter>
  </headerFooter>
  <rowBreaks count="1" manualBreakCount="1">
    <brk id="5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.140625" style="0" customWidth="1"/>
    <col min="2" max="2" width="3.57421875" style="24" customWidth="1"/>
    <col min="3" max="3" width="4.00390625" style="24" customWidth="1"/>
    <col min="4" max="4" width="53.421875" style="0" customWidth="1"/>
    <col min="5" max="6" width="13.421875" style="0" customWidth="1"/>
    <col min="7" max="7" width="13.421875" style="25" customWidth="1"/>
    <col min="8" max="12" width="9.140625" style="0" hidden="1" customWidth="1"/>
    <col min="13" max="13" width="0" style="0" hidden="1" customWidth="1"/>
    <col min="16" max="16" width="13.8515625" style="0" bestFit="1" customWidth="1"/>
  </cols>
  <sheetData>
    <row r="1" spans="1:13" ht="48" customHeight="1" thickBot="1">
      <c r="A1" s="1076" t="s">
        <v>9</v>
      </c>
      <c r="B1" s="1076"/>
      <c r="C1" s="1076"/>
      <c r="D1" s="1" t="s">
        <v>10</v>
      </c>
      <c r="E1" s="204" t="s">
        <v>913</v>
      </c>
      <c r="F1" s="204" t="s">
        <v>916</v>
      </c>
      <c r="G1" s="204" t="s">
        <v>1133</v>
      </c>
      <c r="M1" s="191" t="s">
        <v>12</v>
      </c>
    </row>
    <row r="2" spans="1:13" ht="20.25" thickBot="1" thickTop="1">
      <c r="A2" s="57" t="s">
        <v>14</v>
      </c>
      <c r="B2" s="2"/>
      <c r="C2" s="3"/>
      <c r="D2" s="1021" t="s">
        <v>13</v>
      </c>
      <c r="E2" s="1023"/>
      <c r="F2" s="1023"/>
      <c r="G2" s="1024"/>
      <c r="M2" s="251"/>
    </row>
    <row r="3" spans="1:13" ht="17.25" thickTop="1">
      <c r="A3" s="66"/>
      <c r="B3" s="34" t="s">
        <v>16</v>
      </c>
      <c r="C3" s="74"/>
      <c r="D3" s="35" t="s">
        <v>48</v>
      </c>
      <c r="E3" s="32">
        <v>609632</v>
      </c>
      <c r="F3" s="32">
        <v>278681</v>
      </c>
      <c r="G3" s="32">
        <f>SUM('3.sz.melléklet'!E4+'4. sz. melléklet EÜ.'!N87)</f>
        <v>308920</v>
      </c>
      <c r="M3" s="32" t="e">
        <f>#REF!/#REF!*100</f>
        <v>#REF!</v>
      </c>
    </row>
    <row r="4" spans="1:13" s="213" customFormat="1" ht="16.5">
      <c r="A4" s="66"/>
      <c r="B4" s="34" t="s">
        <v>17</v>
      </c>
      <c r="C4" s="74"/>
      <c r="D4" s="35" t="s">
        <v>18</v>
      </c>
      <c r="E4" s="32">
        <v>1999396</v>
      </c>
      <c r="F4" s="32">
        <v>1956653</v>
      </c>
      <c r="G4" s="32">
        <f>SUM('3.sz.melléklet'!E5)</f>
        <v>1973739</v>
      </c>
      <c r="M4" s="32" t="e">
        <f>#REF!/#REF!*100</f>
        <v>#REF!</v>
      </c>
    </row>
    <row r="5" spans="1:13" s="213" customFormat="1" ht="16.5">
      <c r="A5" s="66"/>
      <c r="B5" s="34" t="s">
        <v>36</v>
      </c>
      <c r="C5" s="74"/>
      <c r="D5" s="35" t="s">
        <v>21</v>
      </c>
      <c r="E5" s="32">
        <v>1014688</v>
      </c>
      <c r="F5" s="32">
        <v>985217</v>
      </c>
      <c r="G5" s="32">
        <f>SUM('3.sz.melléklet'!E6)</f>
        <v>764308</v>
      </c>
      <c r="M5" s="32" t="e">
        <f>#REF!/#REF!*100</f>
        <v>#REF!</v>
      </c>
    </row>
    <row r="6" spans="1:13" s="213" customFormat="1" ht="16.5">
      <c r="A6" s="66"/>
      <c r="B6" s="34" t="s">
        <v>37</v>
      </c>
      <c r="C6" s="74"/>
      <c r="D6" s="35" t="s">
        <v>619</v>
      </c>
      <c r="E6" s="32">
        <v>459080</v>
      </c>
      <c r="F6" s="32">
        <v>579955</v>
      </c>
      <c r="G6" s="32">
        <f>SUM('3.sz.melléklet'!E7+'4. sz. melléklet EÜ.'!N92+'4. sz. melléklet EÜ.'!N93)</f>
        <v>542934</v>
      </c>
      <c r="M6" s="32" t="e">
        <f>#REF!/#REF!*100</f>
        <v>#REF!</v>
      </c>
    </row>
    <row r="7" spans="1:13" s="213" customFormat="1" ht="16.5">
      <c r="A7" s="66"/>
      <c r="B7" s="34" t="s">
        <v>38</v>
      </c>
      <c r="C7" s="74"/>
      <c r="D7" s="35" t="s">
        <v>621</v>
      </c>
      <c r="E7" s="32">
        <v>9362</v>
      </c>
      <c r="F7" s="32">
        <v>29034</v>
      </c>
      <c r="G7" s="32">
        <f>'3asz.melléklet'!E77</f>
        <v>0</v>
      </c>
      <c r="M7" s="32"/>
    </row>
    <row r="8" spans="1:13" s="213" customFormat="1" ht="16.5">
      <c r="A8" s="66"/>
      <c r="B8" s="34" t="s">
        <v>39</v>
      </c>
      <c r="C8" s="74"/>
      <c r="D8" s="35" t="s">
        <v>142</v>
      </c>
      <c r="E8" s="32">
        <v>0</v>
      </c>
      <c r="F8" s="32">
        <v>0</v>
      </c>
      <c r="G8" s="32">
        <f>'3asz.melléklet'!E80</f>
        <v>0</v>
      </c>
      <c r="M8" s="32"/>
    </row>
    <row r="9" spans="1:13" ht="19.5" customHeight="1">
      <c r="A9" s="1067" t="s">
        <v>642</v>
      </c>
      <c r="B9" s="1068"/>
      <c r="C9" s="1068"/>
      <c r="D9" s="1069"/>
      <c r="E9" s="215">
        <f>SUM(E3:E8)</f>
        <v>4092158</v>
      </c>
      <c r="F9" s="215">
        <f>SUM(F3:F8)</f>
        <v>3829540</v>
      </c>
      <c r="G9" s="215">
        <f>SUM(G3:G8)</f>
        <v>3589901</v>
      </c>
      <c r="M9" s="215" t="e">
        <f>#REF!/#REF!*100</f>
        <v>#REF!</v>
      </c>
    </row>
    <row r="10" spans="1:13" s="213" customFormat="1" ht="33">
      <c r="A10" s="66"/>
      <c r="B10" s="1027" t="s">
        <v>714</v>
      </c>
      <c r="C10" s="74"/>
      <c r="D10" s="1026" t="s">
        <v>567</v>
      </c>
      <c r="E10" s="1030">
        <v>625400</v>
      </c>
      <c r="F10" s="1030">
        <v>505580</v>
      </c>
      <c r="G10" s="1030">
        <f>'3asz.melléklet'!E82</f>
        <v>0</v>
      </c>
      <c r="M10" s="32" t="e">
        <f>#REF!/#REF!*100</f>
        <v>#REF!</v>
      </c>
    </row>
    <row r="11" spans="1:13" ht="19.5" customHeight="1">
      <c r="A11" s="1067" t="s">
        <v>643</v>
      </c>
      <c r="B11" s="1068" t="s">
        <v>715</v>
      </c>
      <c r="C11" s="1068"/>
      <c r="D11" s="1069" t="s">
        <v>636</v>
      </c>
      <c r="E11" s="215">
        <f>E10</f>
        <v>625400</v>
      </c>
      <c r="F11" s="215">
        <f>F10</f>
        <v>505580</v>
      </c>
      <c r="G11" s="215">
        <f>G10</f>
        <v>0</v>
      </c>
      <c r="M11" s="215" t="e">
        <f>#REF!/#REF!*100</f>
        <v>#REF!</v>
      </c>
    </row>
    <row r="12" spans="1:13" ht="19.5" customHeight="1">
      <c r="A12" s="1067" t="s">
        <v>644</v>
      </c>
      <c r="B12" s="1068"/>
      <c r="C12" s="1068"/>
      <c r="D12" s="1069"/>
      <c r="E12" s="215">
        <f>E9+E11</f>
        <v>4717558</v>
      </c>
      <c r="F12" s="215">
        <f>F9+F11</f>
        <v>4335120</v>
      </c>
      <c r="G12" s="215">
        <f>G9+G11</f>
        <v>3589901</v>
      </c>
      <c r="M12" s="215" t="e">
        <f>#REF!/#REF!*100</f>
        <v>#REF!</v>
      </c>
    </row>
    <row r="13" spans="1:13" s="213" customFormat="1" ht="16.5">
      <c r="A13" s="66"/>
      <c r="B13" s="34" t="s">
        <v>717</v>
      </c>
      <c r="C13" s="74"/>
      <c r="D13" s="35" t="s">
        <v>25</v>
      </c>
      <c r="E13" s="32">
        <v>0</v>
      </c>
      <c r="F13" s="32">
        <v>0</v>
      </c>
      <c r="G13" s="32">
        <f>'3asz.melléklet'!E85</f>
        <v>0</v>
      </c>
      <c r="M13" s="32"/>
    </row>
    <row r="14" spans="1:13" s="213" customFormat="1" ht="16.5">
      <c r="A14" s="66"/>
      <c r="B14" s="34" t="s">
        <v>718</v>
      </c>
      <c r="C14" s="74"/>
      <c r="D14" s="35" t="s">
        <v>639</v>
      </c>
      <c r="E14" s="32">
        <v>0</v>
      </c>
      <c r="F14" s="32">
        <v>4142078</v>
      </c>
      <c r="G14" s="32">
        <f>'3asz.melléklet'!E87</f>
        <v>0</v>
      </c>
      <c r="M14" s="32"/>
    </row>
    <row r="15" spans="1:13" ht="19.5" customHeight="1">
      <c r="A15" s="1067" t="s">
        <v>645</v>
      </c>
      <c r="B15" s="1068"/>
      <c r="C15" s="1068"/>
      <c r="D15" s="1069"/>
      <c r="E15" s="215">
        <f>SUM(E13:E14)</f>
        <v>0</v>
      </c>
      <c r="F15" s="215">
        <f>SUM(F13:F14)</f>
        <v>4142078</v>
      </c>
      <c r="G15" s="215">
        <f>SUM(G13:G14)</f>
        <v>0</v>
      </c>
      <c r="M15" s="215"/>
    </row>
    <row r="16" spans="1:17" ht="19.5" customHeight="1" thickBot="1">
      <c r="A16" s="1073" t="s">
        <v>459</v>
      </c>
      <c r="B16" s="1074"/>
      <c r="C16" s="1074"/>
      <c r="D16" s="1075"/>
      <c r="E16" s="216">
        <f>E12+E15</f>
        <v>4717558</v>
      </c>
      <c r="F16" s="216">
        <f>F12+F15</f>
        <v>8477198</v>
      </c>
      <c r="G16" s="216">
        <f>G12+G15</f>
        <v>3589901</v>
      </c>
      <c r="H16" s="217"/>
      <c r="I16" s="217"/>
      <c r="J16" s="217"/>
      <c r="M16" s="216" t="e">
        <f>#REF!/#REF!*100</f>
        <v>#REF!</v>
      </c>
      <c r="P16" s="25"/>
      <c r="Q16" s="25"/>
    </row>
    <row r="17" spans="1:13" ht="19.5" customHeight="1" thickBot="1" thickTop="1">
      <c r="A17" s="57" t="s">
        <v>19</v>
      </c>
      <c r="B17" s="2"/>
      <c r="C17" s="3"/>
      <c r="D17" s="1021" t="s">
        <v>32</v>
      </c>
      <c r="E17" s="1022"/>
      <c r="F17" s="1022"/>
      <c r="G17" s="1025"/>
      <c r="M17" s="57"/>
    </row>
    <row r="18" spans="1:13" ht="19.5" customHeight="1" thickTop="1">
      <c r="A18" s="1073" t="s">
        <v>1111</v>
      </c>
      <c r="B18" s="1074"/>
      <c r="C18" s="1074"/>
      <c r="D18" s="1075"/>
      <c r="E18" s="216"/>
      <c r="F18" s="216"/>
      <c r="G18" s="216"/>
      <c r="H18" s="217">
        <f>H77+H82</f>
        <v>0</v>
      </c>
      <c r="I18" s="217">
        <f>I77+I82</f>
        <v>0</v>
      </c>
      <c r="J18" s="217">
        <f>J77+J82</f>
        <v>0</v>
      </c>
      <c r="M18" s="259"/>
    </row>
    <row r="19" spans="1:13" ht="15">
      <c r="A19" s="4"/>
      <c r="B19" s="20" t="s">
        <v>16</v>
      </c>
      <c r="C19" s="21"/>
      <c r="D19" s="22" t="s">
        <v>251</v>
      </c>
      <c r="E19" s="23">
        <v>1338643</v>
      </c>
      <c r="F19" s="23">
        <v>1415303</v>
      </c>
      <c r="G19" s="23">
        <f>SUM('3.sz.melléklet'!E19+'4. sz. melléklet EÜ.'!N98)</f>
        <v>1315683</v>
      </c>
      <c r="I19" t="s">
        <v>347</v>
      </c>
      <c r="J19" s="25" t="e">
        <f>SUM(#REF!,#REF!,#REF!,#REF!,#REF!)</f>
        <v>#REF!</v>
      </c>
      <c r="K19" s="25" t="e">
        <f>SUM(#REF!,#REF!,#REF!,#REF!,#REF!)</f>
        <v>#REF!</v>
      </c>
      <c r="M19" s="23" t="e">
        <f>#REF!/#REF!*100</f>
        <v>#REF!</v>
      </c>
    </row>
    <row r="20" spans="1:13" ht="15">
      <c r="A20" s="9"/>
      <c r="B20" s="15" t="s">
        <v>17</v>
      </c>
      <c r="C20" s="16"/>
      <c r="D20" s="17" t="s">
        <v>35</v>
      </c>
      <c r="E20" s="23">
        <v>397532</v>
      </c>
      <c r="F20" s="23">
        <v>359686</v>
      </c>
      <c r="G20" s="18">
        <f>SUM('3.sz.melléklet'!E20+'4. sz. melléklet EÜ.'!N99)</f>
        <v>343474</v>
      </c>
      <c r="I20" t="s">
        <v>349</v>
      </c>
      <c r="J20" s="25">
        <v>4000</v>
      </c>
      <c r="K20" s="25"/>
      <c r="L20" t="s">
        <v>350</v>
      </c>
      <c r="M20" s="18" t="e">
        <f>#REF!/#REF!*100</f>
        <v>#REF!</v>
      </c>
    </row>
    <row r="21" spans="1:13" ht="15">
      <c r="A21" s="9"/>
      <c r="B21" s="15" t="s">
        <v>36</v>
      </c>
      <c r="C21" s="16"/>
      <c r="D21" s="17" t="s">
        <v>552</v>
      </c>
      <c r="E21" s="23">
        <v>1400390</v>
      </c>
      <c r="F21" s="23">
        <v>1516502</v>
      </c>
      <c r="G21" s="18">
        <f>SUM('3.sz.melléklet'!E21+'4. sz. melléklet EÜ.'!N100)</f>
        <v>1320085</v>
      </c>
      <c r="I21" t="s">
        <v>351</v>
      </c>
      <c r="J21" s="25"/>
      <c r="K21" s="25">
        <v>30062</v>
      </c>
      <c r="M21" s="18" t="e">
        <f>#REF!/#REF!*100</f>
        <v>#REF!</v>
      </c>
    </row>
    <row r="22" spans="1:13" s="115" customFormat="1" ht="14.25">
      <c r="A22" s="14"/>
      <c r="B22" s="15" t="s">
        <v>37</v>
      </c>
      <c r="C22" s="16"/>
      <c r="D22" s="17" t="s">
        <v>553</v>
      </c>
      <c r="E22" s="18">
        <v>13058</v>
      </c>
      <c r="F22" s="18">
        <v>101949</v>
      </c>
      <c r="G22" s="18">
        <f>SUM('3.sz.melléklet'!E22)</f>
        <v>68982</v>
      </c>
      <c r="J22" s="190"/>
      <c r="K22" s="190"/>
      <c r="M22" s="18"/>
    </row>
    <row r="23" spans="1:13" s="115" customFormat="1" ht="14.25">
      <c r="A23" s="14"/>
      <c r="B23" s="15" t="s">
        <v>38</v>
      </c>
      <c r="C23" s="16"/>
      <c r="D23" s="17" t="s">
        <v>1179</v>
      </c>
      <c r="E23" s="18">
        <v>0</v>
      </c>
      <c r="F23" s="18">
        <v>0</v>
      </c>
      <c r="G23" s="18">
        <f>SUM('3.sz.melléklet'!E23)</f>
        <v>0</v>
      </c>
      <c r="J23" s="190"/>
      <c r="K23" s="190"/>
      <c r="M23" s="18"/>
    </row>
    <row r="24" spans="1:13" s="115" customFormat="1" ht="14.25">
      <c r="A24" s="14"/>
      <c r="B24" s="15" t="s">
        <v>39</v>
      </c>
      <c r="C24" s="16"/>
      <c r="D24" s="17" t="s">
        <v>495</v>
      </c>
      <c r="E24" s="18">
        <v>191669</v>
      </c>
      <c r="F24" s="18">
        <v>147783</v>
      </c>
      <c r="G24" s="18">
        <f>SUM('3.sz.melléklet'!E24)</f>
        <v>130750</v>
      </c>
      <c r="J24" s="190"/>
      <c r="K24" s="190"/>
      <c r="M24" s="18" t="e">
        <f>#REF!/#REF!*100</f>
        <v>#REF!</v>
      </c>
    </row>
    <row r="25" spans="1:14" ht="15">
      <c r="A25" s="9"/>
      <c r="B25" s="15" t="s">
        <v>42</v>
      </c>
      <c r="C25" s="16"/>
      <c r="D25" s="17" t="s">
        <v>405</v>
      </c>
      <c r="E25" s="18">
        <v>117312</v>
      </c>
      <c r="F25" s="18">
        <v>137002</v>
      </c>
      <c r="G25" s="18">
        <f>SUM('3.sz.melléklet'!E25)</f>
        <v>40000</v>
      </c>
      <c r="I25" t="s">
        <v>352</v>
      </c>
      <c r="J25" s="25">
        <v>51857</v>
      </c>
      <c r="K25" s="25">
        <v>51858</v>
      </c>
      <c r="M25" s="18" t="e">
        <f>#REF!/#REF!*100</f>
        <v>#REF!</v>
      </c>
      <c r="N25" s="115"/>
    </row>
    <row r="26" spans="1:14" ht="19.5" customHeight="1">
      <c r="A26" s="1067" t="s">
        <v>1180</v>
      </c>
      <c r="B26" s="1068"/>
      <c r="C26" s="1068"/>
      <c r="D26" s="1069"/>
      <c r="E26" s="231">
        <f>SUM(E19:E25)</f>
        <v>3458604</v>
      </c>
      <c r="F26" s="231">
        <f>SUM(F19:F25)</f>
        <v>3678225</v>
      </c>
      <c r="G26" s="231">
        <f>SUM(G19:G25)</f>
        <v>3218974</v>
      </c>
      <c r="M26" s="231" t="e">
        <f>#REF!/#REF!*100</f>
        <v>#REF!</v>
      </c>
      <c r="N26" s="115"/>
    </row>
    <row r="27" spans="1:13" ht="15">
      <c r="A27" s="9"/>
      <c r="B27" s="15" t="s">
        <v>714</v>
      </c>
      <c r="C27" s="16"/>
      <c r="D27" s="17" t="s">
        <v>554</v>
      </c>
      <c r="E27" s="18">
        <v>0</v>
      </c>
      <c r="F27" s="18">
        <v>0</v>
      </c>
      <c r="G27" s="18">
        <f>SUM('3b.sz.melléklet'!E105)</f>
        <v>114882</v>
      </c>
      <c r="J27" s="25"/>
      <c r="K27" s="25"/>
      <c r="M27" s="18" t="e">
        <f>#REF!/#REF!*100</f>
        <v>#REF!</v>
      </c>
    </row>
    <row r="28" spans="1:13" ht="19.5" customHeight="1">
      <c r="A28" s="1067" t="s">
        <v>509</v>
      </c>
      <c r="B28" s="1068" t="s">
        <v>715</v>
      </c>
      <c r="C28" s="1068"/>
      <c r="D28" s="1069" t="s">
        <v>636</v>
      </c>
      <c r="E28" s="215">
        <f>E27</f>
        <v>0</v>
      </c>
      <c r="F28" s="215">
        <f>F27</f>
        <v>0</v>
      </c>
      <c r="G28" s="215">
        <f>G27</f>
        <v>114882</v>
      </c>
      <c r="M28" s="215" t="e">
        <f>#REF!/#REF!*100</f>
        <v>#REF!</v>
      </c>
    </row>
    <row r="29" spans="1:13" ht="19.5" customHeight="1">
      <c r="A29" s="1067" t="s">
        <v>1190</v>
      </c>
      <c r="B29" s="1068"/>
      <c r="C29" s="1068"/>
      <c r="D29" s="1069"/>
      <c r="E29" s="215">
        <f>E26+E28</f>
        <v>3458604</v>
      </c>
      <c r="F29" s="215">
        <f>F26+F28</f>
        <v>3678225</v>
      </c>
      <c r="G29" s="215">
        <f>G26+G28</f>
        <v>3333856</v>
      </c>
      <c r="M29" s="215" t="e">
        <f>#REF!/#REF!*100</f>
        <v>#REF!</v>
      </c>
    </row>
    <row r="30" spans="1:16" ht="15">
      <c r="A30" s="9"/>
      <c r="B30" s="15" t="s">
        <v>715</v>
      </c>
      <c r="C30" s="16"/>
      <c r="D30" s="17" t="s">
        <v>641</v>
      </c>
      <c r="E30" s="18">
        <v>0</v>
      </c>
      <c r="F30" s="18">
        <v>4968256</v>
      </c>
      <c r="G30" s="18">
        <f>'3b.sz.melléklet'!E110</f>
        <v>0</v>
      </c>
      <c r="J30" s="25"/>
      <c r="K30" s="25"/>
      <c r="M30" s="18"/>
      <c r="P30" s="25"/>
    </row>
    <row r="31" spans="1:13" ht="15">
      <c r="A31" s="9"/>
      <c r="B31" s="15" t="s">
        <v>716</v>
      </c>
      <c r="C31" s="16"/>
      <c r="D31" s="17" t="s">
        <v>564</v>
      </c>
      <c r="E31" s="18">
        <v>0</v>
      </c>
      <c r="F31" s="18">
        <v>0</v>
      </c>
      <c r="G31" s="18">
        <f>'3b.sz.melléklet'!E111</f>
        <v>0</v>
      </c>
      <c r="J31" s="25"/>
      <c r="K31" s="25"/>
      <c r="M31" s="18" t="e">
        <f>#REF!/#REF!*100</f>
        <v>#REF!</v>
      </c>
    </row>
    <row r="32" spans="1:13" ht="19.5" customHeight="1">
      <c r="A32" s="1067" t="s">
        <v>510</v>
      </c>
      <c r="B32" s="1068"/>
      <c r="C32" s="1068"/>
      <c r="D32" s="1069"/>
      <c r="E32" s="215">
        <f>E30+E31</f>
        <v>0</v>
      </c>
      <c r="F32" s="215">
        <f>F30+F31</f>
        <v>4968256</v>
      </c>
      <c r="G32" s="215">
        <f>G30+G31</f>
        <v>0</v>
      </c>
      <c r="M32" s="215" t="e">
        <f>#REF!/#REF!*100</f>
        <v>#REF!</v>
      </c>
    </row>
    <row r="33" spans="1:19" ht="19.5" customHeight="1">
      <c r="A33" s="1073" t="s">
        <v>460</v>
      </c>
      <c r="B33" s="1074"/>
      <c r="C33" s="1074"/>
      <c r="D33" s="1075"/>
      <c r="E33" s="230">
        <f>E32+E29</f>
        <v>3458604</v>
      </c>
      <c r="F33" s="230">
        <f>F32+F29</f>
        <v>8646481</v>
      </c>
      <c r="G33" s="230">
        <f>G32+G29</f>
        <v>3333856</v>
      </c>
      <c r="H33" s="217"/>
      <c r="I33" s="217"/>
      <c r="J33" s="217"/>
      <c r="M33" s="230" t="e">
        <f>#REF!/#REF!*100</f>
        <v>#REF!</v>
      </c>
      <c r="P33" s="25">
        <f>SUM(G16-G33)</f>
        <v>256045</v>
      </c>
      <c r="Q33" s="25"/>
      <c r="R33" s="25"/>
      <c r="S33" s="25"/>
    </row>
    <row r="34" ht="12.75">
      <c r="K34" s="25">
        <f>SUM(K31:K33)</f>
        <v>0</v>
      </c>
    </row>
    <row r="35" ht="12.75">
      <c r="G35" s="167"/>
    </row>
  </sheetData>
  <sheetProtection/>
  <mergeCells count="12">
    <mergeCell ref="A1:C1"/>
    <mergeCell ref="A15:D15"/>
    <mergeCell ref="A16:D16"/>
    <mergeCell ref="A9:D9"/>
    <mergeCell ref="A11:D11"/>
    <mergeCell ref="A12:D12"/>
    <mergeCell ref="A32:D32"/>
    <mergeCell ref="A33:D33"/>
    <mergeCell ref="A18:D18"/>
    <mergeCell ref="A26:D26"/>
    <mergeCell ref="A28:D28"/>
    <mergeCell ref="A29:D29"/>
  </mergeCells>
  <printOptions horizontalCentered="1"/>
  <pageMargins left="0" right="0" top="1.1023622047244095" bottom="0.7086614173228347" header="0.4724409448818898" footer="0.35433070866141736"/>
  <pageSetup firstPageNumber="35" useFirstPageNumber="1" horizontalDpi="600" verticalDpi="600" orientation="portrait" paperSize="9" scale="90" r:id="rId1"/>
  <headerFooter alignWithMargins="0">
    <oddHeader>&amp;C&amp;"Times New Roman,Félkövér"&amp;14
Vecsés Város Önkormányzat 2011. évi működési célú bevételei és kiadásai&amp;R2/a. sz. melléklet
ezer Ft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3">
      <selection activeCell="G39" sqref="G39"/>
    </sheetView>
  </sheetViews>
  <sheetFormatPr defaultColWidth="9.140625" defaultRowHeight="12.75"/>
  <cols>
    <col min="1" max="1" width="2.140625" style="0" customWidth="1"/>
    <col min="2" max="2" width="3.57421875" style="24" customWidth="1"/>
    <col min="3" max="3" width="6.8515625" style="24" customWidth="1"/>
    <col min="4" max="4" width="52.28125" style="0" customWidth="1"/>
    <col min="5" max="7" width="12.28125" style="0" customWidth="1"/>
    <col min="8" max="10" width="9.140625" style="0" hidden="1" customWidth="1"/>
    <col min="11" max="11" width="0" style="0" hidden="1" customWidth="1"/>
    <col min="14" max="15" width="9.7109375" style="0" bestFit="1" customWidth="1"/>
  </cols>
  <sheetData>
    <row r="1" spans="1:11" ht="48" customHeight="1">
      <c r="A1" s="1076" t="s">
        <v>9</v>
      </c>
      <c r="B1" s="1076"/>
      <c r="C1" s="1076"/>
      <c r="D1" s="1" t="s">
        <v>10</v>
      </c>
      <c r="E1" s="204" t="s">
        <v>913</v>
      </c>
      <c r="F1" s="204" t="s">
        <v>916</v>
      </c>
      <c r="G1" s="204" t="s">
        <v>1133</v>
      </c>
      <c r="K1" s="191" t="s">
        <v>12</v>
      </c>
    </row>
    <row r="2" spans="1:11" ht="16.5">
      <c r="A2" s="226" t="s">
        <v>403</v>
      </c>
      <c r="B2" s="227"/>
      <c r="C2" s="228"/>
      <c r="D2" s="229"/>
      <c r="E2" s="230"/>
      <c r="F2" s="230"/>
      <c r="G2" s="230"/>
      <c r="K2" s="230"/>
    </row>
    <row r="3" spans="1:11" ht="16.5">
      <c r="A3" s="224"/>
      <c r="B3" s="34" t="s">
        <v>20</v>
      </c>
      <c r="C3" s="74"/>
      <c r="D3" s="35" t="s">
        <v>1183</v>
      </c>
      <c r="E3" s="32">
        <v>77898</v>
      </c>
      <c r="F3" s="32">
        <v>59390</v>
      </c>
      <c r="G3" s="32">
        <f>SUM('3.sz.melléklet'!E36)</f>
        <v>353838</v>
      </c>
      <c r="K3" s="32" t="e">
        <f>#REF!/#REF!*100</f>
        <v>#REF!</v>
      </c>
    </row>
    <row r="4" spans="1:11" ht="16.5">
      <c r="A4" s="224"/>
      <c r="B4" s="34" t="s">
        <v>44</v>
      </c>
      <c r="C4" s="74"/>
      <c r="D4" s="35" t="s">
        <v>619</v>
      </c>
      <c r="E4" s="32">
        <v>500</v>
      </c>
      <c r="F4" s="32">
        <v>7530</v>
      </c>
      <c r="G4" s="32">
        <f>'3asz.melléklet'!E113+'4. sz. melléklet EÜ.'!N94</f>
        <v>0</v>
      </c>
      <c r="K4" s="32" t="e">
        <f>#REF!/#REF!*100</f>
        <v>#REF!</v>
      </c>
    </row>
    <row r="5" spans="1:11" ht="16.5">
      <c r="A5" s="224"/>
      <c r="B5" s="34" t="s">
        <v>45</v>
      </c>
      <c r="C5" s="74"/>
      <c r="D5" s="35" t="s">
        <v>370</v>
      </c>
      <c r="E5" s="32">
        <v>301301</v>
      </c>
      <c r="F5" s="32">
        <v>248036</v>
      </c>
      <c r="G5" s="32">
        <f>SUM('3.sz.melléklet'!E38)</f>
        <v>1000</v>
      </c>
      <c r="K5" s="32" t="e">
        <f>#REF!/#REF!*100</f>
        <v>#REF!</v>
      </c>
    </row>
    <row r="6" spans="1:11" ht="16.5">
      <c r="A6" s="224"/>
      <c r="B6" s="34" t="s">
        <v>49</v>
      </c>
      <c r="C6" s="74"/>
      <c r="D6" s="35" t="s">
        <v>1191</v>
      </c>
      <c r="E6" s="32">
        <v>6963</v>
      </c>
      <c r="F6" s="32">
        <v>6143</v>
      </c>
      <c r="G6" s="32">
        <f>SUM('3.sz.melléklet'!E39)</f>
        <v>3000</v>
      </c>
      <c r="K6" s="32" t="e">
        <f>#REF!/#REF!*100</f>
        <v>#REF!</v>
      </c>
    </row>
    <row r="7" spans="1:11" ht="16.5">
      <c r="A7" s="1067" t="s">
        <v>1185</v>
      </c>
      <c r="B7" s="1068"/>
      <c r="C7" s="1068"/>
      <c r="D7" s="1069" t="s">
        <v>27</v>
      </c>
      <c r="E7" s="215">
        <f>SUM(E3:E6)</f>
        <v>386662</v>
      </c>
      <c r="F7" s="215">
        <f>SUM(F3:F6)</f>
        <v>321099</v>
      </c>
      <c r="G7" s="215">
        <f>SUM(G3:G6)</f>
        <v>357838</v>
      </c>
      <c r="K7" s="215" t="e">
        <f>#REF!/#REF!*100</f>
        <v>#REF!</v>
      </c>
    </row>
    <row r="8" spans="1:11" ht="33">
      <c r="A8" s="66"/>
      <c r="B8" s="1027" t="s">
        <v>50</v>
      </c>
      <c r="C8" s="74"/>
      <c r="D8" s="1026" t="s">
        <v>568</v>
      </c>
      <c r="E8" s="1030">
        <v>197778</v>
      </c>
      <c r="F8" s="1030">
        <v>248868</v>
      </c>
      <c r="G8" s="1030">
        <f>SUM('3.sz.melléklet'!E41)</f>
        <v>100000</v>
      </c>
      <c r="K8" s="32"/>
    </row>
    <row r="9" spans="1:11" ht="16.5">
      <c r="A9" s="1067" t="s">
        <v>395</v>
      </c>
      <c r="B9" s="1068" t="s">
        <v>715</v>
      </c>
      <c r="C9" s="1068"/>
      <c r="D9" s="1069" t="s">
        <v>636</v>
      </c>
      <c r="E9" s="215">
        <f>E8</f>
        <v>197778</v>
      </c>
      <c r="F9" s="215">
        <f>F8</f>
        <v>248868</v>
      </c>
      <c r="G9" s="215">
        <f>G8</f>
        <v>100000</v>
      </c>
      <c r="H9" s="25" t="e">
        <f>SUM(H11-H10)</f>
        <v>#REF!</v>
      </c>
      <c r="K9" s="215"/>
    </row>
    <row r="10" spans="1:11" ht="16.5">
      <c r="A10" s="1067" t="s">
        <v>396</v>
      </c>
      <c r="B10" s="1068"/>
      <c r="C10" s="1068"/>
      <c r="D10" s="1069"/>
      <c r="E10" s="215">
        <f>E7+E9</f>
        <v>584440</v>
      </c>
      <c r="F10" s="215">
        <f>F7+F9</f>
        <v>569967</v>
      </c>
      <c r="G10" s="215">
        <f>G7+G9</f>
        <v>457838</v>
      </c>
      <c r="H10">
        <v>3130462</v>
      </c>
      <c r="K10" s="215" t="e">
        <f>#REF!/#REF!*100</f>
        <v>#REF!</v>
      </c>
    </row>
    <row r="11" spans="1:11" ht="16.5">
      <c r="A11" s="66"/>
      <c r="B11" s="34" t="s">
        <v>308</v>
      </c>
      <c r="C11" s="74"/>
      <c r="D11" s="35" t="s">
        <v>398</v>
      </c>
      <c r="E11" s="32">
        <f>E12+E13</f>
        <v>0</v>
      </c>
      <c r="F11" s="32">
        <f>F12+F13</f>
        <v>0</v>
      </c>
      <c r="G11" s="32">
        <f>G12+G13</f>
        <v>200000</v>
      </c>
      <c r="H11" s="25" t="e">
        <f>SUM(#REF!,'[1]2a sz.melléklet'!#REF!,'[1]cigány 1e sz. mell'!#REF!,'[1]német 1d.sz. mell. '!#REF!)</f>
        <v>#REF!</v>
      </c>
      <c r="I11" s="25" t="e">
        <f>SUM(#REF!,'[1]2a sz.melléklet'!F48,'[1]cigány 1e sz. mell'!F13,'[1]német 1d.sz. mell. '!F13)</f>
        <v>#REF!</v>
      </c>
      <c r="K11" s="32" t="e">
        <f>#REF!/#REF!*100</f>
        <v>#REF!</v>
      </c>
    </row>
    <row r="12" spans="1:11" s="52" customFormat="1" ht="15">
      <c r="A12" s="50"/>
      <c r="B12" s="158" t="s">
        <v>700</v>
      </c>
      <c r="C12" s="43"/>
      <c r="D12" s="44" t="s">
        <v>397</v>
      </c>
      <c r="E12" s="45">
        <v>0</v>
      </c>
      <c r="F12" s="45">
        <v>0</v>
      </c>
      <c r="G12" s="45">
        <f>SUM('3.sz.melléklet'!E45)</f>
        <v>200000</v>
      </c>
      <c r="K12" s="45" t="e">
        <f>#REF!/#REF!*100</f>
        <v>#REF!</v>
      </c>
    </row>
    <row r="13" spans="1:11" s="52" customFormat="1" ht="15">
      <c r="A13" s="50"/>
      <c r="B13" s="158" t="s">
        <v>399</v>
      </c>
      <c r="C13" s="43"/>
      <c r="D13" s="44" t="s">
        <v>400</v>
      </c>
      <c r="E13" s="45">
        <v>0</v>
      </c>
      <c r="F13" s="45">
        <v>0</v>
      </c>
      <c r="G13" s="45">
        <f>SUM('3.sz.melléklet'!E46)</f>
        <v>0</v>
      </c>
      <c r="K13" s="45"/>
    </row>
    <row r="14" spans="1:11" ht="16.5">
      <c r="A14" s="1067" t="s">
        <v>401</v>
      </c>
      <c r="B14" s="1068"/>
      <c r="C14" s="1068"/>
      <c r="D14" s="1069"/>
      <c r="E14" s="215">
        <f>E11</f>
        <v>0</v>
      </c>
      <c r="F14" s="215">
        <f>F11</f>
        <v>0</v>
      </c>
      <c r="G14" s="215">
        <f>G11</f>
        <v>200000</v>
      </c>
      <c r="H14" s="25"/>
      <c r="I14" s="25"/>
      <c r="K14" s="215" t="e">
        <f>#REF!/#REF!*100</f>
        <v>#REF!</v>
      </c>
    </row>
    <row r="15" spans="1:15" ht="19.5" customHeight="1">
      <c r="A15" s="1073" t="s">
        <v>527</v>
      </c>
      <c r="B15" s="1074"/>
      <c r="C15" s="1074"/>
      <c r="D15" s="1075"/>
      <c r="E15" s="216">
        <f>E14+E10</f>
        <v>584440</v>
      </c>
      <c r="F15" s="216">
        <f>F14+F10</f>
        <v>569967</v>
      </c>
      <c r="G15" s="216">
        <f>G14+G10</f>
        <v>657838</v>
      </c>
      <c r="K15" s="216" t="e">
        <f>#REF!/#REF!*100</f>
        <v>#REF!</v>
      </c>
      <c r="N15" s="25"/>
      <c r="O15" s="25"/>
    </row>
    <row r="16" spans="1:11" ht="19.5" customHeight="1">
      <c r="A16" s="233"/>
      <c r="B16" s="225"/>
      <c r="C16" s="225"/>
      <c r="D16" s="225"/>
      <c r="E16" s="234"/>
      <c r="F16" s="234"/>
      <c r="G16" s="234"/>
      <c r="K16" s="234"/>
    </row>
    <row r="17" spans="1:11" ht="16.5">
      <c r="A17" s="226" t="s">
        <v>32</v>
      </c>
      <c r="B17" s="227"/>
      <c r="C17" s="228"/>
      <c r="D17" s="229"/>
      <c r="E17" s="216"/>
      <c r="F17" s="216"/>
      <c r="G17" s="216"/>
      <c r="K17" s="230"/>
    </row>
    <row r="18" spans="1:11" ht="19.5" customHeight="1">
      <c r="A18" s="226" t="s">
        <v>526</v>
      </c>
      <c r="B18" s="227"/>
      <c r="C18" s="228"/>
      <c r="D18" s="229"/>
      <c r="E18" s="216"/>
      <c r="F18" s="216"/>
      <c r="G18" s="216"/>
      <c r="H18" s="217"/>
      <c r="I18" s="217"/>
      <c r="J18" s="217"/>
      <c r="K18" s="230"/>
    </row>
    <row r="19" spans="1:11" s="213" customFormat="1" ht="16.5">
      <c r="A19" s="224"/>
      <c r="B19" s="34"/>
      <c r="C19" s="74" t="s">
        <v>20</v>
      </c>
      <c r="D19" s="35" t="s">
        <v>53</v>
      </c>
      <c r="E19" s="32">
        <f>SUM(E20:E22)</f>
        <v>86557</v>
      </c>
      <c r="F19" s="32">
        <f>SUM(F20:F22)</f>
        <v>218646</v>
      </c>
      <c r="G19" s="32">
        <f>SUM(G20:G22)</f>
        <v>0</v>
      </c>
      <c r="K19" s="32"/>
    </row>
    <row r="20" spans="1:11" ht="15">
      <c r="A20" s="122"/>
      <c r="B20" s="123"/>
      <c r="C20" s="56" t="s">
        <v>144</v>
      </c>
      <c r="D20" s="120" t="s">
        <v>528</v>
      </c>
      <c r="E20" s="95">
        <v>48822</v>
      </c>
      <c r="F20" s="95">
        <v>176888</v>
      </c>
      <c r="G20" s="95">
        <f>'3.sz.melléklet'!E51</f>
        <v>0</v>
      </c>
      <c r="J20" s="25"/>
      <c r="K20" s="95"/>
    </row>
    <row r="21" spans="1:13" ht="15">
      <c r="A21" s="122"/>
      <c r="B21" s="123"/>
      <c r="C21" s="56" t="s">
        <v>186</v>
      </c>
      <c r="D21" s="120" t="s">
        <v>4</v>
      </c>
      <c r="E21" s="95">
        <v>17534</v>
      </c>
      <c r="F21" s="95">
        <v>2639</v>
      </c>
      <c r="G21" s="95">
        <f>'3.sz.melléklet'!E52</f>
        <v>0</v>
      </c>
      <c r="H21" t="e">
        <f>SUM('[1]5.sz.mell.'!P51+'[1]6.sz.mell.'!I47)</f>
        <v>#REF!</v>
      </c>
      <c r="J21" s="25"/>
      <c r="K21" s="95"/>
      <c r="M21" s="25"/>
    </row>
    <row r="22" spans="1:13" ht="15">
      <c r="A22" s="122"/>
      <c r="B22" s="123"/>
      <c r="C22" s="56" t="s">
        <v>145</v>
      </c>
      <c r="D22" s="120" t="s">
        <v>530</v>
      </c>
      <c r="E22" s="95">
        <v>20201</v>
      </c>
      <c r="F22" s="95">
        <v>39119</v>
      </c>
      <c r="G22" s="95">
        <f>'3.sz.melléklet'!E53</f>
        <v>0</v>
      </c>
      <c r="J22" s="25"/>
      <c r="K22" s="95"/>
      <c r="M22" s="25"/>
    </row>
    <row r="23" spans="1:15" s="213" customFormat="1" ht="16.5">
      <c r="A23" s="224"/>
      <c r="B23" s="34"/>
      <c r="C23" s="74" t="s">
        <v>44</v>
      </c>
      <c r="D23" s="35" t="s">
        <v>52</v>
      </c>
      <c r="E23" s="32">
        <f>SUM(E24:E28)</f>
        <v>955993</v>
      </c>
      <c r="F23" s="32">
        <f>SUM(F24:F29)</f>
        <v>357854</v>
      </c>
      <c r="G23" s="32">
        <f>SUM(G24:G27)</f>
        <v>50100</v>
      </c>
      <c r="K23" s="32"/>
      <c r="N23" s="270"/>
      <c r="O23" s="270"/>
    </row>
    <row r="24" spans="1:11" ht="15">
      <c r="A24" s="122"/>
      <c r="B24" s="123"/>
      <c r="C24" s="56" t="s">
        <v>531</v>
      </c>
      <c r="D24" s="120" t="s">
        <v>529</v>
      </c>
      <c r="E24" s="95">
        <v>86345</v>
      </c>
      <c r="F24" s="95">
        <v>71056</v>
      </c>
      <c r="G24" s="95">
        <f>SUM('6.sz.melléklet '!E91)</f>
        <v>23120</v>
      </c>
      <c r="J24" s="25"/>
      <c r="K24" s="95"/>
    </row>
    <row r="25" spans="1:16" ht="15">
      <c r="A25" s="122"/>
      <c r="B25" s="123"/>
      <c r="C25" s="56" t="s">
        <v>532</v>
      </c>
      <c r="D25" s="120" t="s">
        <v>533</v>
      </c>
      <c r="E25" s="95">
        <v>705766</v>
      </c>
      <c r="F25" s="95">
        <v>215827</v>
      </c>
      <c r="G25" s="95">
        <f>SUM('3.sz.melléklet'!E56)</f>
        <v>16960</v>
      </c>
      <c r="H25" t="e">
        <f>SUM('[1]5.sz.mell.'!P55+'[1]6.sz.mell.'!I51)</f>
        <v>#REF!</v>
      </c>
      <c r="J25" s="25"/>
      <c r="K25" s="95"/>
      <c r="P25" s="25"/>
    </row>
    <row r="26" spans="1:16" ht="15">
      <c r="A26" s="122"/>
      <c r="B26" s="123"/>
      <c r="C26" s="56" t="s">
        <v>1090</v>
      </c>
      <c r="D26" s="120" t="s">
        <v>1188</v>
      </c>
      <c r="E26" s="95">
        <v>125</v>
      </c>
      <c r="F26" s="95">
        <v>0</v>
      </c>
      <c r="G26" s="95"/>
      <c r="J26" s="25"/>
      <c r="K26" s="95"/>
      <c r="P26" s="25"/>
    </row>
    <row r="27" spans="1:11" ht="15">
      <c r="A27" s="122"/>
      <c r="B27" s="123"/>
      <c r="C27" s="56" t="s">
        <v>565</v>
      </c>
      <c r="D27" s="120" t="s">
        <v>534</v>
      </c>
      <c r="E27" s="95">
        <v>163732</v>
      </c>
      <c r="F27" s="95">
        <v>70971</v>
      </c>
      <c r="G27" s="95">
        <f>SUM('6.sz.melléklet '!F116)</f>
        <v>10020</v>
      </c>
      <c r="J27" s="25"/>
      <c r="K27" s="95"/>
    </row>
    <row r="28" spans="1:11" ht="15">
      <c r="A28" s="122"/>
      <c r="B28" s="123"/>
      <c r="C28" s="56" t="s">
        <v>566</v>
      </c>
      <c r="D28" s="120" t="s">
        <v>1189</v>
      </c>
      <c r="E28" s="95">
        <v>25</v>
      </c>
      <c r="F28" s="95"/>
      <c r="G28" s="95"/>
      <c r="J28" s="25"/>
      <c r="K28" s="95"/>
    </row>
    <row r="29" spans="1:11" s="213" customFormat="1" ht="16.5">
      <c r="A29" s="224"/>
      <c r="B29" s="34"/>
      <c r="C29" s="74" t="s">
        <v>45</v>
      </c>
      <c r="D29" s="35" t="s">
        <v>650</v>
      </c>
      <c r="E29" s="32">
        <v>2500</v>
      </c>
      <c r="F29" s="32">
        <v>0</v>
      </c>
      <c r="G29" s="32">
        <f>'3b.sz.melléklet'!E125</f>
        <v>0</v>
      </c>
      <c r="K29" s="32"/>
    </row>
    <row r="30" spans="1:11" s="213" customFormat="1" ht="16.5">
      <c r="A30" s="224"/>
      <c r="B30" s="34"/>
      <c r="C30" s="74" t="s">
        <v>49</v>
      </c>
      <c r="D30" s="35" t="s">
        <v>553</v>
      </c>
      <c r="E30" s="32">
        <v>500</v>
      </c>
      <c r="F30" s="32">
        <v>7530</v>
      </c>
      <c r="G30" s="32">
        <f>'3b.sz.melléklet'!E126</f>
        <v>0</v>
      </c>
      <c r="K30" s="32"/>
    </row>
    <row r="31" spans="1:11" s="213" customFormat="1" ht="16.5">
      <c r="A31" s="224"/>
      <c r="B31" s="34"/>
      <c r="C31" s="74" t="s">
        <v>50</v>
      </c>
      <c r="D31" s="35" t="s">
        <v>495</v>
      </c>
      <c r="E31" s="32">
        <v>27415</v>
      </c>
      <c r="F31" s="32">
        <v>9119</v>
      </c>
      <c r="G31" s="32">
        <f>SUM('3.sz.melléklet'!E60)</f>
        <v>50621</v>
      </c>
      <c r="K31" s="32"/>
    </row>
    <row r="32" spans="1:11" s="213" customFormat="1" ht="16.5">
      <c r="A32" s="224"/>
      <c r="B32" s="34"/>
      <c r="C32" s="74" t="s">
        <v>51</v>
      </c>
      <c r="D32" s="35" t="s">
        <v>651</v>
      </c>
      <c r="E32" s="32">
        <v>1000</v>
      </c>
      <c r="F32" s="32">
        <v>150</v>
      </c>
      <c r="G32" s="32">
        <f>'3b.sz.melléklet'!E130</f>
        <v>0</v>
      </c>
      <c r="K32" s="32"/>
    </row>
    <row r="33" spans="1:11" ht="19.5" customHeight="1">
      <c r="A33" s="1067" t="s">
        <v>1192</v>
      </c>
      <c r="B33" s="1068"/>
      <c r="C33" s="1068"/>
      <c r="D33" s="1069" t="s">
        <v>27</v>
      </c>
      <c r="E33" s="215">
        <f>E17+E23+E29+E30+E31+E32+E19</f>
        <v>1073965</v>
      </c>
      <c r="F33" s="215">
        <f>F17+F23+F29+F30+F31+F32+F19</f>
        <v>593299</v>
      </c>
      <c r="G33" s="215">
        <f>G19+G23+G29+G30+G31+G32</f>
        <v>100721</v>
      </c>
      <c r="K33" s="215"/>
    </row>
    <row r="34" spans="1:11" s="213" customFormat="1" ht="16.5">
      <c r="A34" s="224"/>
      <c r="B34" s="34"/>
      <c r="C34" s="74" t="s">
        <v>259</v>
      </c>
      <c r="D34" s="35" t="s">
        <v>554</v>
      </c>
      <c r="E34" s="32">
        <v>0</v>
      </c>
      <c r="F34" s="32">
        <v>0</v>
      </c>
      <c r="G34" s="32">
        <f>SUM('3b.sz.melléklet'!E133)</f>
        <v>737716</v>
      </c>
      <c r="K34" s="32" t="e">
        <f>#REF!/#REF!*100</f>
        <v>#REF!</v>
      </c>
    </row>
    <row r="35" spans="1:11" ht="19.5" customHeight="1">
      <c r="A35" s="1067" t="s">
        <v>520</v>
      </c>
      <c r="B35" s="1068" t="s">
        <v>715</v>
      </c>
      <c r="C35" s="1068"/>
      <c r="D35" s="1069" t="s">
        <v>636</v>
      </c>
      <c r="E35" s="215">
        <f>E34</f>
        <v>0</v>
      </c>
      <c r="F35" s="215">
        <f>F34</f>
        <v>0</v>
      </c>
      <c r="G35" s="215">
        <f>G34</f>
        <v>737716</v>
      </c>
      <c r="K35" s="215" t="e">
        <f>#REF!/#REF!*100</f>
        <v>#REF!</v>
      </c>
    </row>
    <row r="36" spans="1:11" ht="19.5" customHeight="1">
      <c r="A36" s="1067" t="s">
        <v>521</v>
      </c>
      <c r="B36" s="1068"/>
      <c r="C36" s="1068"/>
      <c r="D36" s="1069"/>
      <c r="E36" s="215">
        <f>E33+E35</f>
        <v>1073965</v>
      </c>
      <c r="F36" s="215">
        <f>F33+F35</f>
        <v>593299</v>
      </c>
      <c r="G36" s="215">
        <f>G33+G35</f>
        <v>838437</v>
      </c>
      <c r="K36" s="215" t="e">
        <f>#REF!/#REF!*100</f>
        <v>#REF!</v>
      </c>
    </row>
    <row r="37" spans="1:11" s="213" customFormat="1" ht="16.5">
      <c r="A37" s="224"/>
      <c r="B37" s="34"/>
      <c r="C37" s="74" t="s">
        <v>308</v>
      </c>
      <c r="D37" s="35" t="s">
        <v>652</v>
      </c>
      <c r="E37" s="32">
        <v>14982</v>
      </c>
      <c r="F37" s="32">
        <v>65278</v>
      </c>
      <c r="G37" s="32">
        <f>SUM('3b.sz.melléklet'!E137)</f>
        <v>75446</v>
      </c>
      <c r="K37" s="32" t="e">
        <f>#REF!/#REF!*100</f>
        <v>#REF!</v>
      </c>
    </row>
    <row r="38" spans="1:11" ht="19.5" customHeight="1">
      <c r="A38" s="1067" t="s">
        <v>523</v>
      </c>
      <c r="B38" s="1068"/>
      <c r="C38" s="1068"/>
      <c r="D38" s="1069"/>
      <c r="E38" s="215">
        <f>E37</f>
        <v>14982</v>
      </c>
      <c r="F38" s="215">
        <f>F37</f>
        <v>65278</v>
      </c>
      <c r="G38" s="215">
        <f>G37</f>
        <v>75446</v>
      </c>
      <c r="K38" s="215" t="e">
        <f>#REF!/#REF!*100</f>
        <v>#REF!</v>
      </c>
    </row>
    <row r="39" spans="1:17" ht="19.5" customHeight="1">
      <c r="A39" s="1073" t="s">
        <v>535</v>
      </c>
      <c r="B39" s="1074"/>
      <c r="C39" s="1074"/>
      <c r="D39" s="1075"/>
      <c r="E39" s="216">
        <f>E36+E38</f>
        <v>1088947</v>
      </c>
      <c r="F39" s="216">
        <f>F36+F38</f>
        <v>658577</v>
      </c>
      <c r="G39" s="216">
        <f>G36+G38</f>
        <v>913883</v>
      </c>
      <c r="H39" s="217"/>
      <c r="I39" s="217"/>
      <c r="J39" s="217"/>
      <c r="K39" s="216" t="e">
        <f>#REF!/#REF!*100</f>
        <v>#REF!</v>
      </c>
      <c r="N39" s="25">
        <f>SUM(G39-G15)</f>
        <v>256045</v>
      </c>
      <c r="O39" s="25"/>
      <c r="P39" s="25"/>
      <c r="Q39" s="25"/>
    </row>
  </sheetData>
  <sheetProtection/>
  <mergeCells count="11">
    <mergeCell ref="A39:D39"/>
    <mergeCell ref="A33:D33"/>
    <mergeCell ref="A35:D35"/>
    <mergeCell ref="A36:D36"/>
    <mergeCell ref="A38:D38"/>
    <mergeCell ref="A15:D15"/>
    <mergeCell ref="A1:C1"/>
    <mergeCell ref="A7:D7"/>
    <mergeCell ref="A9:D9"/>
    <mergeCell ref="A10:D10"/>
    <mergeCell ref="A14:D14"/>
  </mergeCells>
  <printOptions horizontalCentered="1"/>
  <pageMargins left="0.1968503937007874" right="0.1968503937007874" top="1.1811023622047245" bottom="0.59" header="0.39" footer="0.31"/>
  <pageSetup firstPageNumber="36" useFirstPageNumber="1" horizontalDpi="600" verticalDpi="600" orientation="portrait" paperSize="9" scale="90" r:id="rId1"/>
  <headerFooter alignWithMargins="0">
    <oddHeader>&amp;C&amp;"Times New Roman,Félkövér"&amp;14
Vecsés Város Önkormányzat 2011. évi felhalmozási célú bevételei és kiadása&amp;R2/b. sz. melléklet
ezer Ft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84"/>
  <sheetViews>
    <sheetView zoomScaleSheetLayoutView="75" zoomScalePageLayoutView="0" workbookViewId="0" topLeftCell="A55">
      <selection activeCell="R67" sqref="R67"/>
    </sheetView>
  </sheetViews>
  <sheetFormatPr defaultColWidth="9.140625" defaultRowHeight="12.75"/>
  <cols>
    <col min="1" max="1" width="2.140625" style="0" customWidth="1"/>
    <col min="2" max="2" width="3.57421875" style="24" customWidth="1"/>
    <col min="3" max="3" width="6.140625" style="24" customWidth="1"/>
    <col min="4" max="4" width="48.00390625" style="0" customWidth="1"/>
    <col min="5" max="5" width="13.421875" style="0" customWidth="1"/>
    <col min="6" max="10" width="9.140625" style="0" hidden="1" customWidth="1"/>
    <col min="11" max="12" width="0" style="0" hidden="1" customWidth="1"/>
    <col min="15" max="15" width="11.421875" style="0" customWidth="1"/>
    <col min="16" max="16" width="16.28125" style="0" customWidth="1"/>
    <col min="17" max="17" width="14.00390625" style="0" customWidth="1"/>
    <col min="18" max="18" width="12.57421875" style="0" customWidth="1"/>
    <col min="19" max="19" width="16.57421875" style="0" customWidth="1"/>
    <col min="20" max="20" width="11.7109375" style="0" customWidth="1"/>
    <col min="21" max="21" width="12.7109375" style="0" customWidth="1"/>
    <col min="22" max="22" width="14.28125" style="0" customWidth="1"/>
  </cols>
  <sheetData>
    <row r="1" spans="1:11" ht="48" customHeight="1">
      <c r="A1" s="1076" t="s">
        <v>9</v>
      </c>
      <c r="B1" s="1076"/>
      <c r="C1" s="1076"/>
      <c r="D1" s="1" t="s">
        <v>10</v>
      </c>
      <c r="E1" s="204" t="s">
        <v>1133</v>
      </c>
      <c r="K1" s="191" t="s">
        <v>12</v>
      </c>
    </row>
    <row r="2" spans="1:11" ht="16.5">
      <c r="A2" s="1070" t="s">
        <v>491</v>
      </c>
      <c r="B2" s="1071"/>
      <c r="C2" s="1071"/>
      <c r="D2" s="1072"/>
      <c r="E2" s="235"/>
      <c r="K2" s="235"/>
    </row>
    <row r="3" spans="1:11" ht="16.5">
      <c r="A3" s="1073" t="s">
        <v>488</v>
      </c>
      <c r="B3" s="1074"/>
      <c r="C3" s="1074"/>
      <c r="D3" s="1075"/>
      <c r="E3" s="230"/>
      <c r="K3" s="230"/>
    </row>
    <row r="4" spans="1:11" ht="16.5">
      <c r="A4" s="66"/>
      <c r="B4" s="34" t="s">
        <v>16</v>
      </c>
      <c r="C4" s="74"/>
      <c r="D4" s="35" t="s">
        <v>48</v>
      </c>
      <c r="E4" s="32">
        <f>SUM('3asz.melléklet'!E4+'3c.szmelléklet'!J401+'német 3d.sz. mell. '!E3+'cigány 3e sz. mell'!J4+'russzin 3f'!J4)</f>
        <v>289920</v>
      </c>
      <c r="K4" s="32" t="e">
        <f>#REF!/#REF!*100</f>
        <v>#REF!</v>
      </c>
    </row>
    <row r="5" spans="1:11" s="213" customFormat="1" ht="16.5">
      <c r="A5" s="66"/>
      <c r="B5" s="34" t="s">
        <v>17</v>
      </c>
      <c r="C5" s="74"/>
      <c r="D5" s="35" t="s">
        <v>18</v>
      </c>
      <c r="E5" s="32">
        <f>SUM('3asz.melléklet'!E28+'német 3d.sz. mell. '!E5+'cigány 3e sz. mell'!J5+'russzin 3f'!J5)</f>
        <v>1973739</v>
      </c>
      <c r="K5" s="32" t="e">
        <f>#REF!/#REF!*100</f>
        <v>#REF!</v>
      </c>
    </row>
    <row r="6" spans="1:11" s="213" customFormat="1" ht="16.5">
      <c r="A6" s="66"/>
      <c r="B6" s="34" t="s">
        <v>36</v>
      </c>
      <c r="C6" s="74"/>
      <c r="D6" s="35" t="s">
        <v>21</v>
      </c>
      <c r="E6" s="32">
        <f>SUM('3asz.melléklet'!E46+'német 3d.sz. mell. '!E6+'cigány 3e sz. mell'!J6+'russzin 3f'!J6)</f>
        <v>764308</v>
      </c>
      <c r="K6" s="32" t="e">
        <f>#REF!/#REF!*100</f>
        <v>#REF!</v>
      </c>
    </row>
    <row r="7" spans="1:11" s="213" customFormat="1" ht="16.5">
      <c r="A7" s="66"/>
      <c r="B7" s="34" t="s">
        <v>37</v>
      </c>
      <c r="C7" s="74"/>
      <c r="D7" s="35" t="s">
        <v>619</v>
      </c>
      <c r="E7" s="32">
        <f>SUM('3asz.melléklet'!E66+'német 3d.sz. mell. '!E7+'cigány 3e sz. mell'!J7+'3c.szmelléklet'!J409+'russzin 3f'!J7)</f>
        <v>44743</v>
      </c>
      <c r="K7" s="32" t="e">
        <f>#REF!/#REF!*100</f>
        <v>#REF!</v>
      </c>
    </row>
    <row r="8" spans="1:11" s="213" customFormat="1" ht="16.5">
      <c r="A8" s="66"/>
      <c r="B8" s="34" t="s">
        <v>38</v>
      </c>
      <c r="C8" s="74"/>
      <c r="D8" s="35" t="s">
        <v>621</v>
      </c>
      <c r="E8" s="32">
        <f>SUM('3asz.melléklet'!E77+'német 3d.sz. mell. '!E8+'cigány 3e sz. mell'!J8)</f>
        <v>0</v>
      </c>
      <c r="K8" s="32"/>
    </row>
    <row r="9" spans="1:11" s="213" customFormat="1" ht="16.5">
      <c r="A9" s="66"/>
      <c r="B9" s="34" t="s">
        <v>39</v>
      </c>
      <c r="C9" s="74"/>
      <c r="D9" s="35" t="s">
        <v>142</v>
      </c>
      <c r="E9" s="32">
        <f>SUM('3asz.melléklet'!E80+'német 3d.sz. mell. '!E9+'cigány 3e sz. mell'!J9)</f>
        <v>0</v>
      </c>
      <c r="K9" s="32"/>
    </row>
    <row r="10" spans="1:11" ht="19.5" customHeight="1">
      <c r="A10" s="1067" t="s">
        <v>642</v>
      </c>
      <c r="B10" s="1068"/>
      <c r="C10" s="1068"/>
      <c r="D10" s="1069"/>
      <c r="E10" s="215">
        <f>SUM(E4:E9)</f>
        <v>3072710</v>
      </c>
      <c r="K10" s="215" t="e">
        <f>#REF!/#REF!*100</f>
        <v>#REF!</v>
      </c>
    </row>
    <row r="11" spans="1:11" s="213" customFormat="1" ht="33">
      <c r="A11" s="66"/>
      <c r="B11" s="1027" t="s">
        <v>714</v>
      </c>
      <c r="C11" s="74"/>
      <c r="D11" s="1026" t="s">
        <v>567</v>
      </c>
      <c r="E11" s="32">
        <f>'3asz.melléklet'!E82</f>
        <v>0</v>
      </c>
      <c r="K11" s="32" t="e">
        <f>#REF!/#REF!*100</f>
        <v>#REF!</v>
      </c>
    </row>
    <row r="12" spans="1:11" ht="19.5" customHeight="1">
      <c r="A12" s="1067" t="s">
        <v>643</v>
      </c>
      <c r="B12" s="1068" t="s">
        <v>715</v>
      </c>
      <c r="C12" s="1068"/>
      <c r="D12" s="1069" t="s">
        <v>636</v>
      </c>
      <c r="E12" s="215">
        <f>E11</f>
        <v>0</v>
      </c>
      <c r="K12" s="215" t="e">
        <f>#REF!/#REF!*100</f>
        <v>#REF!</v>
      </c>
    </row>
    <row r="13" spans="1:11" ht="19.5" customHeight="1">
      <c r="A13" s="1067" t="s">
        <v>644</v>
      </c>
      <c r="B13" s="1068"/>
      <c r="C13" s="1068"/>
      <c r="D13" s="1069"/>
      <c r="E13" s="215">
        <f>E10+E12</f>
        <v>3072710</v>
      </c>
      <c r="K13" s="215" t="e">
        <f>#REF!/#REF!*100</f>
        <v>#REF!</v>
      </c>
    </row>
    <row r="14" spans="1:11" s="213" customFormat="1" ht="16.5">
      <c r="A14" s="66"/>
      <c r="B14" s="34" t="s">
        <v>717</v>
      </c>
      <c r="C14" s="74"/>
      <c r="D14" s="35" t="s">
        <v>25</v>
      </c>
      <c r="E14" s="32">
        <f>'3asz.melléklet'!E85</f>
        <v>0</v>
      </c>
      <c r="K14" s="32"/>
    </row>
    <row r="15" spans="1:11" s="213" customFormat="1" ht="16.5">
      <c r="A15" s="66"/>
      <c r="B15" s="34" t="s">
        <v>718</v>
      </c>
      <c r="C15" s="74"/>
      <c r="D15" s="35" t="s">
        <v>639</v>
      </c>
      <c r="E15" s="32">
        <f>'3asz.melléklet'!E87</f>
        <v>0</v>
      </c>
      <c r="K15" s="32"/>
    </row>
    <row r="16" spans="1:11" ht="19.5" customHeight="1">
      <c r="A16" s="1067" t="s">
        <v>645</v>
      </c>
      <c r="B16" s="1068"/>
      <c r="C16" s="1068"/>
      <c r="D16" s="1069"/>
      <c r="E16" s="215">
        <f>SUM(E14:E15)</f>
        <v>0</v>
      </c>
      <c r="K16" s="215"/>
    </row>
    <row r="17" spans="1:11" ht="19.5" customHeight="1">
      <c r="A17" s="1073" t="s">
        <v>459</v>
      </c>
      <c r="B17" s="1074"/>
      <c r="C17" s="1074"/>
      <c r="D17" s="1075"/>
      <c r="E17" s="216">
        <f>E13+E16</f>
        <v>3072710</v>
      </c>
      <c r="F17" s="217"/>
      <c r="G17" s="217"/>
      <c r="H17" s="222"/>
      <c r="K17" s="216" t="e">
        <f>#REF!/#REF!*100</f>
        <v>#REF!</v>
      </c>
    </row>
    <row r="18" spans="1:11" ht="19.5" customHeight="1">
      <c r="A18" s="1073" t="s">
        <v>1111</v>
      </c>
      <c r="B18" s="1074"/>
      <c r="C18" s="1074"/>
      <c r="D18" s="1075"/>
      <c r="E18" s="216"/>
      <c r="F18" s="217">
        <f>F75+F80</f>
        <v>0</v>
      </c>
      <c r="G18" s="217">
        <f>G75+G80</f>
        <v>0</v>
      </c>
      <c r="H18" s="217">
        <f>H75+H80</f>
        <v>0</v>
      </c>
      <c r="K18" s="216"/>
    </row>
    <row r="19" spans="1:11" ht="15">
      <c r="A19" s="4"/>
      <c r="B19" s="20" t="s">
        <v>16</v>
      </c>
      <c r="C19" s="21"/>
      <c r="D19" s="22" t="s">
        <v>251</v>
      </c>
      <c r="E19" s="23">
        <f>SUM('3b.sz.melléklet'!E4+'3b.sz.melléklet'!E195+'3c.szmelléklet'!J412+'német 3d.sz. mell. '!E16+'cigány 3e sz. mell'!J16+'russzin 3f'!J16)</f>
        <v>1172975</v>
      </c>
      <c r="G19" t="s">
        <v>347</v>
      </c>
      <c r="H19" s="25" t="e">
        <f>SUM(#REF!,#REF!,#REF!,#REF!,#REF!)</f>
        <v>#REF!</v>
      </c>
      <c r="I19" s="25" t="e">
        <f>SUM(#REF!,#REF!,#REF!,#REF!,#REF!)</f>
        <v>#REF!</v>
      </c>
      <c r="K19" s="23" t="e">
        <f>#REF!/#REF!*100</f>
        <v>#REF!</v>
      </c>
    </row>
    <row r="20" spans="1:11" ht="15">
      <c r="A20" s="9"/>
      <c r="B20" s="15" t="s">
        <v>17</v>
      </c>
      <c r="C20" s="16"/>
      <c r="D20" s="17" t="s">
        <v>35</v>
      </c>
      <c r="E20" s="18">
        <f>SUM('3b.sz.melléklet'!E7+'3b.sz.melléklet'!E196+'3c.szmelléklet'!J413+'német 3d.sz. mell. '!E17+'cigány 3e sz. mell'!J17+'russzin 3f'!J17)</f>
        <v>304514</v>
      </c>
      <c r="G20" t="s">
        <v>349</v>
      </c>
      <c r="H20" s="25">
        <v>4000</v>
      </c>
      <c r="I20" s="25"/>
      <c r="J20" t="s">
        <v>350</v>
      </c>
      <c r="K20" s="18" t="e">
        <f>#REF!/#REF!*100</f>
        <v>#REF!</v>
      </c>
    </row>
    <row r="21" spans="1:11" ht="15">
      <c r="A21" s="9"/>
      <c r="B21" s="15" t="s">
        <v>36</v>
      </c>
      <c r="C21" s="16"/>
      <c r="D21" s="17" t="s">
        <v>552</v>
      </c>
      <c r="E21" s="18">
        <f>SUM('3b.sz.melléklet'!E13+'3b.sz.melléklet'!E197+'3c.szmelléklet'!J414+'német 3d.sz. mell. '!E18+'cigány 3e sz. mell'!J18+'russzin 3f'!J18)</f>
        <v>984562</v>
      </c>
      <c r="G21" t="s">
        <v>351</v>
      </c>
      <c r="H21" s="25"/>
      <c r="I21" s="25">
        <v>30062</v>
      </c>
      <c r="K21" s="18" t="e">
        <f>#REF!/#REF!*100</f>
        <v>#REF!</v>
      </c>
    </row>
    <row r="22" spans="1:11" s="115" customFormat="1" ht="14.25">
      <c r="A22" s="14"/>
      <c r="B22" s="15" t="s">
        <v>37</v>
      </c>
      <c r="C22" s="16"/>
      <c r="D22" s="17" t="s">
        <v>553</v>
      </c>
      <c r="E22" s="18">
        <f>SUM('3b.sz.melléklet'!E36+'3c.szmelléklet'!J419)</f>
        <v>68982</v>
      </c>
      <c r="H22" s="190"/>
      <c r="I22" s="190"/>
      <c r="K22" s="18"/>
    </row>
    <row r="23" spans="1:11" s="115" customFormat="1" ht="14.25">
      <c r="A23" s="14"/>
      <c r="B23" s="15" t="s">
        <v>38</v>
      </c>
      <c r="C23" s="16"/>
      <c r="D23" s="17" t="s">
        <v>1179</v>
      </c>
      <c r="E23" s="18">
        <f>'3b.sz.melléklet'!E40</f>
        <v>0</v>
      </c>
      <c r="H23" s="190"/>
      <c r="I23" s="190"/>
      <c r="K23" s="18"/>
    </row>
    <row r="24" spans="1:11" s="115" customFormat="1" ht="14.25">
      <c r="A24" s="14"/>
      <c r="B24" s="15" t="s">
        <v>39</v>
      </c>
      <c r="C24" s="16"/>
      <c r="D24" s="17" t="s">
        <v>495</v>
      </c>
      <c r="E24" s="18">
        <f>SUM('3b.sz.melléklet'!E41)</f>
        <v>130750</v>
      </c>
      <c r="H24" s="190"/>
      <c r="I24" s="190"/>
      <c r="K24" s="18" t="e">
        <f>#REF!/#REF!*100</f>
        <v>#REF!</v>
      </c>
    </row>
    <row r="25" spans="1:11" ht="15">
      <c r="A25" s="9"/>
      <c r="B25" s="15" t="s">
        <v>42</v>
      </c>
      <c r="C25" s="16"/>
      <c r="D25" s="17" t="s">
        <v>405</v>
      </c>
      <c r="E25" s="18">
        <f>SUM('3b.sz.melléklet'!E86)</f>
        <v>40000</v>
      </c>
      <c r="G25" t="s">
        <v>352</v>
      </c>
      <c r="H25" s="25">
        <v>51857</v>
      </c>
      <c r="I25" s="25">
        <v>51858</v>
      </c>
      <c r="K25" s="18" t="e">
        <f>#REF!/#REF!*100</f>
        <v>#REF!</v>
      </c>
    </row>
    <row r="26" spans="1:11" ht="19.5" customHeight="1">
      <c r="A26" s="1067" t="s">
        <v>1180</v>
      </c>
      <c r="B26" s="1068"/>
      <c r="C26" s="1068"/>
      <c r="D26" s="1069"/>
      <c r="E26" s="231">
        <f>SUM(E19:E25)</f>
        <v>2701783</v>
      </c>
      <c r="K26" s="231" t="e">
        <f>#REF!/#REF!*100</f>
        <v>#REF!</v>
      </c>
    </row>
    <row r="27" spans="1:11" ht="15">
      <c r="A27" s="9"/>
      <c r="B27" s="15" t="s">
        <v>714</v>
      </c>
      <c r="C27" s="16"/>
      <c r="D27" s="17" t="s">
        <v>554</v>
      </c>
      <c r="E27" s="18">
        <f>SUM('3b.sz.melléklet'!E105)</f>
        <v>114882</v>
      </c>
      <c r="H27" s="25"/>
      <c r="I27" s="25"/>
      <c r="K27" s="18" t="e">
        <f>#REF!/#REF!*100</f>
        <v>#REF!</v>
      </c>
    </row>
    <row r="28" spans="1:11" ht="19.5" customHeight="1">
      <c r="A28" s="1067" t="s">
        <v>509</v>
      </c>
      <c r="B28" s="1068" t="s">
        <v>715</v>
      </c>
      <c r="C28" s="1068"/>
      <c r="D28" s="1069" t="s">
        <v>636</v>
      </c>
      <c r="E28" s="215">
        <f>E27</f>
        <v>114882</v>
      </c>
      <c r="K28" s="215" t="e">
        <f>#REF!/#REF!*100</f>
        <v>#REF!</v>
      </c>
    </row>
    <row r="29" spans="1:11" ht="19.5" customHeight="1">
      <c r="A29" s="1067" t="s">
        <v>1190</v>
      </c>
      <c r="B29" s="1068"/>
      <c r="C29" s="1068"/>
      <c r="D29" s="1069"/>
      <c r="E29" s="215">
        <f>E26+E28</f>
        <v>2816665</v>
      </c>
      <c r="K29" s="215" t="e">
        <f>#REF!/#REF!*100</f>
        <v>#REF!</v>
      </c>
    </row>
    <row r="30" spans="1:11" ht="15">
      <c r="A30" s="9"/>
      <c r="B30" s="15" t="s">
        <v>715</v>
      </c>
      <c r="C30" s="16"/>
      <c r="D30" s="17" t="s">
        <v>641</v>
      </c>
      <c r="E30" s="18">
        <f>'3b.sz.melléklet'!E110</f>
        <v>0</v>
      </c>
      <c r="H30" s="25"/>
      <c r="I30" s="25"/>
      <c r="K30" s="18"/>
    </row>
    <row r="31" spans="1:11" ht="15">
      <c r="A31" s="9"/>
      <c r="B31" s="15" t="s">
        <v>716</v>
      </c>
      <c r="C31" s="16"/>
      <c r="D31" s="17" t="s">
        <v>564</v>
      </c>
      <c r="E31" s="18">
        <f>'3b.sz.melléklet'!E111</f>
        <v>0</v>
      </c>
      <c r="H31" s="25"/>
      <c r="I31" s="25"/>
      <c r="K31" s="18" t="e">
        <f>#REF!/#REF!*100</f>
        <v>#REF!</v>
      </c>
    </row>
    <row r="32" spans="1:11" ht="19.5" customHeight="1">
      <c r="A32" s="1067" t="s">
        <v>510</v>
      </c>
      <c r="B32" s="1068"/>
      <c r="C32" s="1068"/>
      <c r="D32" s="1069"/>
      <c r="E32" s="215">
        <f>E30+E31</f>
        <v>0</v>
      </c>
      <c r="K32" s="215" t="e">
        <f>#REF!/#REF!*100</f>
        <v>#REF!</v>
      </c>
    </row>
    <row r="33" spans="1:11" ht="19.5" customHeight="1">
      <c r="A33" s="1073" t="s">
        <v>460</v>
      </c>
      <c r="B33" s="1074"/>
      <c r="C33" s="1074"/>
      <c r="D33" s="1075"/>
      <c r="E33" s="230">
        <f>E32+E29</f>
        <v>2816665</v>
      </c>
      <c r="F33" s="217"/>
      <c r="G33" s="217"/>
      <c r="H33" s="217"/>
      <c r="K33" s="230" t="e">
        <f>#REF!/#REF!*100</f>
        <v>#REF!</v>
      </c>
    </row>
    <row r="34" spans="1:11" ht="16.5">
      <c r="A34" s="1070" t="s">
        <v>489</v>
      </c>
      <c r="B34" s="1071"/>
      <c r="C34" s="1071"/>
      <c r="D34" s="1072"/>
      <c r="E34" s="235"/>
      <c r="K34" s="235"/>
    </row>
    <row r="35" spans="1:11" ht="16.5">
      <c r="A35" s="226" t="s">
        <v>490</v>
      </c>
      <c r="B35" s="227"/>
      <c r="C35" s="228"/>
      <c r="D35" s="229"/>
      <c r="E35" s="230"/>
      <c r="K35" s="230"/>
    </row>
    <row r="36" spans="1:11" ht="16.5">
      <c r="A36" s="224"/>
      <c r="B36" s="34" t="s">
        <v>20</v>
      </c>
      <c r="C36" s="74"/>
      <c r="D36" s="35" t="s">
        <v>1183</v>
      </c>
      <c r="E36" s="32">
        <f>SUM('3asz.melléklet'!E93)</f>
        <v>353838</v>
      </c>
      <c r="K36" s="32" t="e">
        <f>#REF!/#REF!*100</f>
        <v>#REF!</v>
      </c>
    </row>
    <row r="37" spans="1:11" ht="16.5">
      <c r="A37" s="224"/>
      <c r="B37" s="34" t="s">
        <v>44</v>
      </c>
      <c r="C37" s="74"/>
      <c r="D37" s="35" t="s">
        <v>619</v>
      </c>
      <c r="E37" s="32">
        <f>SUM('3asz.melléklet'!E113)</f>
        <v>0</v>
      </c>
      <c r="K37" s="32" t="e">
        <f>#REF!/#REF!*100</f>
        <v>#REF!</v>
      </c>
    </row>
    <row r="38" spans="1:11" ht="16.5">
      <c r="A38" s="224"/>
      <c r="B38" s="34" t="s">
        <v>45</v>
      </c>
      <c r="C38" s="74"/>
      <c r="D38" s="35" t="s">
        <v>370</v>
      </c>
      <c r="E38" s="32">
        <f>SUM('3asz.melléklet'!E115)</f>
        <v>1000</v>
      </c>
      <c r="K38" s="32" t="e">
        <f>#REF!/#REF!*100</f>
        <v>#REF!</v>
      </c>
    </row>
    <row r="39" spans="1:11" ht="16.5">
      <c r="A39" s="224"/>
      <c r="B39" s="34" t="s">
        <v>49</v>
      </c>
      <c r="C39" s="74"/>
      <c r="D39" s="35" t="s">
        <v>1184</v>
      </c>
      <c r="E39" s="32">
        <f>SUM('3asz.melléklet'!E121)</f>
        <v>3000</v>
      </c>
      <c r="K39" s="32" t="e">
        <f>#REF!/#REF!*100</f>
        <v>#REF!</v>
      </c>
    </row>
    <row r="40" spans="1:11" ht="16.5">
      <c r="A40" s="1067" t="s">
        <v>374</v>
      </c>
      <c r="B40" s="1068"/>
      <c r="C40" s="1068"/>
      <c r="D40" s="1069" t="s">
        <v>27</v>
      </c>
      <c r="E40" s="215">
        <f>SUM(E36:E39)</f>
        <v>357838</v>
      </c>
      <c r="K40" s="215" t="e">
        <f>#REF!/#REF!*100</f>
        <v>#REF!</v>
      </c>
    </row>
    <row r="41" spans="1:11" ht="36" customHeight="1">
      <c r="A41" s="66"/>
      <c r="B41" s="1027" t="s">
        <v>50</v>
      </c>
      <c r="C41" s="74"/>
      <c r="D41" s="1026" t="s">
        <v>568</v>
      </c>
      <c r="E41" s="1030">
        <f>SUM('3asz.melléklet'!E125)</f>
        <v>100000</v>
      </c>
      <c r="K41" s="32"/>
    </row>
    <row r="42" spans="1:11" ht="16.5">
      <c r="A42" s="1067" t="s">
        <v>395</v>
      </c>
      <c r="B42" s="1068" t="s">
        <v>715</v>
      </c>
      <c r="C42" s="1068"/>
      <c r="D42" s="1069" t="s">
        <v>636</v>
      </c>
      <c r="E42" s="215">
        <f>E41</f>
        <v>100000</v>
      </c>
      <c r="F42" s="25" t="e">
        <f>SUM(F44-F43)</f>
        <v>#REF!</v>
      </c>
      <c r="K42" s="215"/>
    </row>
    <row r="43" spans="1:11" ht="16.5">
      <c r="A43" s="1067" t="s">
        <v>396</v>
      </c>
      <c r="B43" s="1068"/>
      <c r="C43" s="1068"/>
      <c r="D43" s="1069"/>
      <c r="E43" s="215">
        <f>E40+E42</f>
        <v>457838</v>
      </c>
      <c r="F43">
        <v>3130462</v>
      </c>
      <c r="K43" s="215" t="e">
        <f>#REF!/#REF!*100</f>
        <v>#REF!</v>
      </c>
    </row>
    <row r="44" spans="1:11" ht="16.5">
      <c r="A44" s="66"/>
      <c r="B44" s="34" t="s">
        <v>308</v>
      </c>
      <c r="C44" s="74"/>
      <c r="D44" s="35" t="s">
        <v>398</v>
      </c>
      <c r="E44" s="32">
        <f>E45+E46</f>
        <v>200000</v>
      </c>
      <c r="F44" s="25" t="e">
        <f>SUM(#REF!,'[1]2a sz.melléklet'!#REF!,'[1]cigány 1e sz. mell'!#REF!,'[1]német 1d.sz. mell. '!#REF!)</f>
        <v>#REF!</v>
      </c>
      <c r="G44" s="25" t="e">
        <f>SUM(#REF!,'[1]2a sz.melléklet'!F85,'[1]cigány 1e sz. mell'!F50,'[1]német 1d.sz. mell. '!F50)</f>
        <v>#REF!</v>
      </c>
      <c r="K44" s="32" t="e">
        <f>#REF!/#REF!*100</f>
        <v>#REF!</v>
      </c>
    </row>
    <row r="45" spans="1:11" s="52" customFormat="1" ht="15">
      <c r="A45" s="50"/>
      <c r="B45" s="158" t="s">
        <v>700</v>
      </c>
      <c r="C45" s="43"/>
      <c r="D45" s="44" t="s">
        <v>79</v>
      </c>
      <c r="E45" s="45">
        <f>SUM('3asz.melléklet'!E129)</f>
        <v>200000</v>
      </c>
      <c r="K45" s="45" t="e">
        <f>#REF!/#REF!*100</f>
        <v>#REF!</v>
      </c>
    </row>
    <row r="46" spans="1:11" s="52" customFormat="1" ht="15">
      <c r="A46" s="50"/>
      <c r="B46" s="158" t="s">
        <v>399</v>
      </c>
      <c r="C46" s="43"/>
      <c r="D46" s="44" t="s">
        <v>400</v>
      </c>
      <c r="E46" s="45">
        <f>SUM('3asz.melléklet'!E130)</f>
        <v>0</v>
      </c>
      <c r="K46" s="45"/>
    </row>
    <row r="47" spans="1:11" ht="16.5">
      <c r="A47" s="1067" t="s">
        <v>401</v>
      </c>
      <c r="B47" s="1068"/>
      <c r="C47" s="1068"/>
      <c r="D47" s="1069"/>
      <c r="E47" s="215">
        <f>E44</f>
        <v>200000</v>
      </c>
      <c r="F47" s="25"/>
      <c r="G47" s="25"/>
      <c r="K47" s="215" t="e">
        <f>#REF!/#REF!*100</f>
        <v>#REF!</v>
      </c>
    </row>
    <row r="48" spans="1:11" ht="19.5" customHeight="1">
      <c r="A48" s="1073" t="s">
        <v>527</v>
      </c>
      <c r="B48" s="1074"/>
      <c r="C48" s="1074"/>
      <c r="D48" s="1075"/>
      <c r="E48" s="216">
        <f>E47+E43</f>
        <v>657838</v>
      </c>
      <c r="K48" s="216" t="e">
        <f>#REF!/#REF!*100</f>
        <v>#REF!</v>
      </c>
    </row>
    <row r="49" spans="1:11" ht="19.5" customHeight="1">
      <c r="A49" s="226" t="s">
        <v>526</v>
      </c>
      <c r="B49" s="227"/>
      <c r="C49" s="228"/>
      <c r="D49" s="229"/>
      <c r="E49" s="230"/>
      <c r="F49" s="217"/>
      <c r="G49" s="217"/>
      <c r="H49" s="217"/>
      <c r="K49" s="230"/>
    </row>
    <row r="50" spans="1:11" s="213" customFormat="1" ht="16.5">
      <c r="A50" s="224"/>
      <c r="B50" s="34"/>
      <c r="C50" s="74" t="s">
        <v>20</v>
      </c>
      <c r="D50" s="35" t="s">
        <v>53</v>
      </c>
      <c r="E50" s="32">
        <f>SUM(E51:E53)</f>
        <v>0</v>
      </c>
      <c r="K50" s="32"/>
    </row>
    <row r="51" spans="1:11" ht="15">
      <c r="A51" s="122"/>
      <c r="B51" s="123"/>
      <c r="C51" s="56" t="s">
        <v>144</v>
      </c>
      <c r="D51" s="120" t="s">
        <v>528</v>
      </c>
      <c r="E51" s="95"/>
      <c r="H51" s="25"/>
      <c r="K51" s="95"/>
    </row>
    <row r="52" spans="1:11" ht="15">
      <c r="A52" s="122"/>
      <c r="B52" s="123"/>
      <c r="C52" s="56" t="s">
        <v>186</v>
      </c>
      <c r="D52" s="120" t="s">
        <v>4</v>
      </c>
      <c r="E52" s="95"/>
      <c r="F52" t="e">
        <f>SUM('[1]5.sz.mell.'!P81+'[1]6.sz.mell.'!I77)</f>
        <v>#REF!</v>
      </c>
      <c r="H52" s="25"/>
      <c r="K52" s="95"/>
    </row>
    <row r="53" spans="1:11" ht="15">
      <c r="A53" s="122"/>
      <c r="B53" s="123"/>
      <c r="C53" s="56" t="s">
        <v>145</v>
      </c>
      <c r="D53" s="120" t="s">
        <v>530</v>
      </c>
      <c r="E53" s="95"/>
      <c r="H53" s="25"/>
      <c r="K53" s="95"/>
    </row>
    <row r="54" spans="1:11" s="213" customFormat="1" ht="16.5">
      <c r="A54" s="224"/>
      <c r="B54" s="34"/>
      <c r="C54" s="74" t="s">
        <v>44</v>
      </c>
      <c r="D54" s="35" t="s">
        <v>52</v>
      </c>
      <c r="E54" s="32">
        <f>SUM(E55:E57)</f>
        <v>50100</v>
      </c>
      <c r="K54" s="32"/>
    </row>
    <row r="55" spans="1:15" ht="15">
      <c r="A55" s="122"/>
      <c r="B55" s="123"/>
      <c r="C55" s="56" t="s">
        <v>531</v>
      </c>
      <c r="D55" s="120" t="s">
        <v>529</v>
      </c>
      <c r="E55" s="95">
        <f>SUM('6.sz.melléklet '!E91)</f>
        <v>23120</v>
      </c>
      <c r="H55" s="25"/>
      <c r="K55" s="95"/>
      <c r="O55" s="25"/>
    </row>
    <row r="56" spans="1:11" ht="15">
      <c r="A56" s="122"/>
      <c r="B56" s="123"/>
      <c r="C56" s="56" t="s">
        <v>532</v>
      </c>
      <c r="D56" s="120" t="s">
        <v>533</v>
      </c>
      <c r="E56" s="95">
        <f>SUM('6.sz.melléklet '!E3)</f>
        <v>16960</v>
      </c>
      <c r="F56" t="e">
        <f>SUM('[1]5.sz.mell.'!P85+'[1]6.sz.mell.'!I81)</f>
        <v>#REF!</v>
      </c>
      <c r="H56" s="25"/>
      <c r="K56" s="95"/>
    </row>
    <row r="57" spans="1:11" ht="15">
      <c r="A57" s="122"/>
      <c r="B57" s="123"/>
      <c r="C57" s="56" t="s">
        <v>1434</v>
      </c>
      <c r="D57" s="120" t="s">
        <v>534</v>
      </c>
      <c r="E57" s="95">
        <f>SUM('6.sz.melléklet '!F116)</f>
        <v>10020</v>
      </c>
      <c r="H57" s="25"/>
      <c r="K57" s="95"/>
    </row>
    <row r="58" spans="1:20" s="213" customFormat="1" ht="16.5">
      <c r="A58" s="224"/>
      <c r="B58" s="34"/>
      <c r="C58" s="74" t="s">
        <v>45</v>
      </c>
      <c r="D58" s="35" t="s">
        <v>650</v>
      </c>
      <c r="E58" s="32"/>
      <c r="K58" s="32"/>
      <c r="P58"/>
      <c r="Q58" s="736" t="s">
        <v>1134</v>
      </c>
      <c r="R58"/>
      <c r="S58"/>
      <c r="T58" s="736" t="s">
        <v>1134</v>
      </c>
    </row>
    <row r="59" spans="1:20" s="213" customFormat="1" ht="16.5">
      <c r="A59" s="224"/>
      <c r="B59" s="34"/>
      <c r="C59" s="74" t="s">
        <v>49</v>
      </c>
      <c r="D59" s="35" t="s">
        <v>553</v>
      </c>
      <c r="E59" s="32">
        <f>SUM('3b.sz.melléklet'!E126)</f>
        <v>0</v>
      </c>
      <c r="K59" s="32"/>
      <c r="P59" s="213" t="s">
        <v>383</v>
      </c>
      <c r="Q59" s="270">
        <f>SUM(E83)</f>
        <v>3730548</v>
      </c>
      <c r="R59" s="270"/>
      <c r="S59" s="213" t="s">
        <v>391</v>
      </c>
      <c r="T59" s="270">
        <f>SUM('1.sz.össz'!G89)</f>
        <v>4247739</v>
      </c>
    </row>
    <row r="60" spans="1:20" s="213" customFormat="1" ht="16.5">
      <c r="A60" s="224"/>
      <c r="B60" s="34"/>
      <c r="C60" s="74" t="s">
        <v>50</v>
      </c>
      <c r="D60" s="35" t="s">
        <v>495</v>
      </c>
      <c r="E60" s="32">
        <f>SUM('3b.sz.melléklet'!E127)</f>
        <v>50621</v>
      </c>
      <c r="K60" s="32"/>
      <c r="P60"/>
      <c r="Q60"/>
      <c r="R60"/>
      <c r="S60"/>
      <c r="T60"/>
    </row>
    <row r="61" spans="1:20" s="213" customFormat="1" ht="16.5">
      <c r="A61" s="224"/>
      <c r="B61" s="34"/>
      <c r="C61" s="74" t="s">
        <v>51</v>
      </c>
      <c r="D61" s="35" t="s">
        <v>651</v>
      </c>
      <c r="E61" s="32">
        <f>SUM('3b.sz.melléklet'!E130)</f>
        <v>0</v>
      </c>
      <c r="K61" s="32"/>
      <c r="P61" s="213" t="s">
        <v>384</v>
      </c>
      <c r="Q61" s="270">
        <f>SUM('3b.sz.melléklet'!E205)</f>
        <v>2388673</v>
      </c>
      <c r="R61" s="270"/>
      <c r="S61" s="213" t="s">
        <v>388</v>
      </c>
      <c r="T61" s="270">
        <f>SUM(E83)</f>
        <v>3730548</v>
      </c>
    </row>
    <row r="62" spans="1:22" ht="19.5" customHeight="1">
      <c r="A62" s="1067" t="s">
        <v>519</v>
      </c>
      <c r="B62" s="1068"/>
      <c r="C62" s="1068"/>
      <c r="D62" s="1069" t="s">
        <v>27</v>
      </c>
      <c r="E62" s="215">
        <f>E50+E54+E58+E59+E60+E61</f>
        <v>100721</v>
      </c>
      <c r="K62" s="215"/>
      <c r="P62" s="213" t="s">
        <v>385</v>
      </c>
      <c r="Q62" s="270">
        <f>SUM('3c.szmelléklet'!J420)</f>
        <v>1336245</v>
      </c>
      <c r="R62" s="270"/>
      <c r="S62" s="213" t="s">
        <v>389</v>
      </c>
      <c r="T62" s="270">
        <f>SUM('4. sz. melléklet EÜ.'!I161)</f>
        <v>517191</v>
      </c>
      <c r="U62" s="161"/>
      <c r="V62" s="270"/>
    </row>
    <row r="63" spans="1:22" s="213" customFormat="1" ht="16.5">
      <c r="A63" s="224"/>
      <c r="B63" s="34"/>
      <c r="C63" s="74" t="s">
        <v>259</v>
      </c>
      <c r="D63" s="35" t="s">
        <v>554</v>
      </c>
      <c r="E63" s="32">
        <f>SUM('3b.sz.melléklet'!E133)</f>
        <v>737716</v>
      </c>
      <c r="K63" s="32" t="e">
        <f>#REF!/#REF!*100</f>
        <v>#REF!</v>
      </c>
      <c r="P63" s="213" t="s">
        <v>378</v>
      </c>
      <c r="Q63" s="270">
        <f>SUM('német 3d.sz. mell. '!E33)</f>
        <v>3710</v>
      </c>
      <c r="R63" s="270"/>
      <c r="S63" s="213" t="s">
        <v>390</v>
      </c>
      <c r="T63" s="270">
        <f>SUM(T61:T62)</f>
        <v>4247739</v>
      </c>
      <c r="U63" s="270"/>
      <c r="V63" s="270"/>
    </row>
    <row r="64" spans="1:22" ht="19.5" customHeight="1">
      <c r="A64" s="1067" t="s">
        <v>520</v>
      </c>
      <c r="B64" s="1068" t="s">
        <v>715</v>
      </c>
      <c r="C64" s="1068"/>
      <c r="D64" s="1069" t="s">
        <v>636</v>
      </c>
      <c r="E64" s="215">
        <f>E63</f>
        <v>737716</v>
      </c>
      <c r="K64" s="215" t="e">
        <f>#REF!/#REF!*100</f>
        <v>#REF!</v>
      </c>
      <c r="P64" s="213" t="s">
        <v>418</v>
      </c>
      <c r="Q64" s="270">
        <f>SUM('cigány 3e sz. mell'!J33)</f>
        <v>1710</v>
      </c>
      <c r="R64" s="270"/>
      <c r="U64" s="270"/>
      <c r="V64" s="270"/>
    </row>
    <row r="65" spans="1:22" ht="19.5" customHeight="1">
      <c r="A65" s="1067" t="s">
        <v>521</v>
      </c>
      <c r="B65" s="1068"/>
      <c r="C65" s="1068"/>
      <c r="D65" s="1069"/>
      <c r="E65" s="215">
        <f>E62+E64</f>
        <v>838437</v>
      </c>
      <c r="K65" s="215" t="e">
        <f>#REF!/#REF!*100</f>
        <v>#REF!</v>
      </c>
      <c r="P65" s="213" t="s">
        <v>417</v>
      </c>
      <c r="Q65" s="270">
        <f>SUM('russzin 3f'!J33)</f>
        <v>210</v>
      </c>
      <c r="U65" s="270"/>
      <c r="V65" s="270"/>
    </row>
    <row r="66" spans="1:22" s="213" customFormat="1" ht="16.5">
      <c r="A66" s="224"/>
      <c r="B66" s="34"/>
      <c r="C66" s="74" t="s">
        <v>308</v>
      </c>
      <c r="D66" s="35" t="s">
        <v>652</v>
      </c>
      <c r="E66" s="32">
        <f>SUM('3b.sz.melléklet'!E137)</f>
        <v>75446</v>
      </c>
      <c r="K66" s="32" t="e">
        <f>#REF!/#REF!*100</f>
        <v>#REF!</v>
      </c>
      <c r="U66" s="270"/>
      <c r="V66" s="270"/>
    </row>
    <row r="67" spans="1:22" ht="19.5" customHeight="1">
      <c r="A67" s="1067" t="s">
        <v>523</v>
      </c>
      <c r="B67" s="1068"/>
      <c r="C67" s="1068"/>
      <c r="D67" s="1069"/>
      <c r="E67" s="215">
        <f>E66</f>
        <v>75446</v>
      </c>
      <c r="K67" s="215" t="e">
        <f>#REF!/#REF!*100</f>
        <v>#REF!</v>
      </c>
      <c r="P67" s="213" t="s">
        <v>386</v>
      </c>
      <c r="Q67" s="270">
        <f>SUM(Q61:Q65)</f>
        <v>3730548</v>
      </c>
      <c r="R67" s="270"/>
      <c r="S67" s="213"/>
      <c r="T67" s="25"/>
      <c r="U67" s="270"/>
      <c r="V67" s="270"/>
    </row>
    <row r="68" spans="1:20" ht="19.5" customHeight="1">
      <c r="A68" s="1073" t="s">
        <v>535</v>
      </c>
      <c r="B68" s="1074"/>
      <c r="C68" s="1074"/>
      <c r="D68" s="1075"/>
      <c r="E68" s="216">
        <f>E65+E67</f>
        <v>913883</v>
      </c>
      <c r="F68" s="217"/>
      <c r="G68" s="217"/>
      <c r="H68" s="217"/>
      <c r="K68" s="216" t="e">
        <f>#REF!/#REF!*100</f>
        <v>#REF!</v>
      </c>
      <c r="P68" s="213"/>
      <c r="Q68" s="270"/>
      <c r="R68" s="270"/>
      <c r="S68" s="213"/>
      <c r="T68" s="213"/>
    </row>
    <row r="69" spans="16:20" ht="16.5">
      <c r="P69" s="723" t="s">
        <v>387</v>
      </c>
      <c r="Q69" s="723">
        <f>SUM(Q59-Q67)</f>
        <v>0</v>
      </c>
      <c r="R69" s="723"/>
      <c r="S69" s="723" t="s">
        <v>387</v>
      </c>
      <c r="T69" s="723">
        <f>SUM(T59-T63)</f>
        <v>0</v>
      </c>
    </row>
    <row r="70" spans="1:17" s="213" customFormat="1" ht="16.5">
      <c r="A70" s="224"/>
      <c r="B70" s="34"/>
      <c r="C70" s="74"/>
      <c r="D70" s="35" t="s">
        <v>492</v>
      </c>
      <c r="E70" s="32">
        <f>E10+E40</f>
        <v>3430548</v>
      </c>
      <c r="K70" s="32" t="e">
        <f>#REF!/#REF!*100</f>
        <v>#REF!</v>
      </c>
      <c r="P70" s="270"/>
      <c r="Q70" s="270"/>
    </row>
    <row r="71" spans="1:22" s="213" customFormat="1" ht="16.5">
      <c r="A71" s="224"/>
      <c r="B71" s="34"/>
      <c r="C71" s="74"/>
      <c r="D71" s="35" t="s">
        <v>493</v>
      </c>
      <c r="E71" s="32">
        <f>E12+E42</f>
        <v>100000</v>
      </c>
      <c r="K71" s="32" t="e">
        <f>#REF!/#REF!*100</f>
        <v>#REF!</v>
      </c>
      <c r="P71"/>
      <c r="Q71"/>
      <c r="R71"/>
      <c r="S71"/>
      <c r="T71"/>
      <c r="U71" s="723"/>
      <c r="V71" s="723"/>
    </row>
    <row r="72" spans="1:20" s="213" customFormat="1" ht="16.5">
      <c r="A72" s="224"/>
      <c r="B72" s="34"/>
      <c r="C72" s="74"/>
      <c r="D72" s="35" t="s">
        <v>494</v>
      </c>
      <c r="E72" s="32">
        <f>E16+E47</f>
        <v>200000</v>
      </c>
      <c r="K72" s="32" t="e">
        <f>#REF!/#REF!*100</f>
        <v>#REF!</v>
      </c>
      <c r="Q72" s="270" t="s">
        <v>382</v>
      </c>
      <c r="R72" s="270"/>
      <c r="S72" s="270"/>
      <c r="T72" s="161" t="s">
        <v>392</v>
      </c>
    </row>
    <row r="73" spans="1:20" s="213" customFormat="1" ht="16.5">
      <c r="A73" s="224"/>
      <c r="B73" s="34"/>
      <c r="C73" s="74"/>
      <c r="D73" s="35" t="s">
        <v>541</v>
      </c>
      <c r="E73" s="32">
        <f>'3asz.melléklet'!E133</f>
        <v>0</v>
      </c>
      <c r="K73" s="32"/>
      <c r="P73" s="270" t="s">
        <v>375</v>
      </c>
      <c r="Q73" s="270">
        <f>SUM(E76)</f>
        <v>3730548</v>
      </c>
      <c r="R73"/>
      <c r="S73" s="213" t="s">
        <v>393</v>
      </c>
      <c r="T73" s="270">
        <f>SUM('1.sz.össz'!G82)</f>
        <v>4247739</v>
      </c>
    </row>
    <row r="74" spans="1:20" ht="19.5" customHeight="1">
      <c r="A74" s="1073" t="s">
        <v>542</v>
      </c>
      <c r="B74" s="1074"/>
      <c r="C74" s="1074"/>
      <c r="D74" s="1075"/>
      <c r="E74" s="216">
        <f>SUM(E70:E73)</f>
        <v>3730548</v>
      </c>
      <c r="F74" s="217"/>
      <c r="G74" s="217"/>
      <c r="H74" s="217"/>
      <c r="K74" s="216" t="e">
        <f>#REF!/#REF!*100</f>
        <v>#REF!</v>
      </c>
      <c r="P74" s="213"/>
      <c r="Q74" s="213"/>
      <c r="R74" s="213"/>
      <c r="S74" s="213"/>
      <c r="T74" s="270"/>
    </row>
    <row r="75" spans="1:21" s="213" customFormat="1" ht="16.5">
      <c r="A75" s="224"/>
      <c r="B75" s="34"/>
      <c r="C75" s="74"/>
      <c r="D75" s="35"/>
      <c r="E75" s="32"/>
      <c r="K75" s="32"/>
      <c r="P75" s="270" t="s">
        <v>376</v>
      </c>
      <c r="Q75" s="270">
        <f>SUM('3asz.melléklet'!E136)</f>
        <v>2388673</v>
      </c>
      <c r="S75" s="213" t="s">
        <v>388</v>
      </c>
      <c r="T75" s="270">
        <f>SUM(E76)</f>
        <v>3730548</v>
      </c>
      <c r="U75" s="161"/>
    </row>
    <row r="76" spans="1:22" ht="19.5" customHeight="1">
      <c r="A76" s="1073" t="s">
        <v>31</v>
      </c>
      <c r="B76" s="1074"/>
      <c r="C76" s="1074"/>
      <c r="D76" s="1075"/>
      <c r="E76" s="216">
        <f>E74+E75</f>
        <v>3730548</v>
      </c>
      <c r="F76" s="217"/>
      <c r="G76" s="217"/>
      <c r="H76" s="217"/>
      <c r="K76" s="216" t="e">
        <f>#REF!/#REF!*100</f>
        <v>#REF!</v>
      </c>
      <c r="O76" s="213"/>
      <c r="P76" s="270" t="s">
        <v>377</v>
      </c>
      <c r="Q76" s="270">
        <f>SUM('3c.szmelléklet'!E419)</f>
        <v>1336245</v>
      </c>
      <c r="R76" s="213"/>
      <c r="S76" s="213" t="s">
        <v>389</v>
      </c>
      <c r="T76" s="270">
        <f>SUM('4. sz. melléklet EÜ.'!I160)</f>
        <v>517191</v>
      </c>
      <c r="U76" s="270"/>
      <c r="V76" s="270"/>
    </row>
    <row r="77" spans="1:22" s="213" customFormat="1" ht="16.5">
      <c r="A77" s="224"/>
      <c r="B77" s="34"/>
      <c r="C77" s="74"/>
      <c r="D77" s="35" t="s">
        <v>543</v>
      </c>
      <c r="E77" s="32">
        <f>E26+E62</f>
        <v>2802504</v>
      </c>
      <c r="K77" s="32" t="e">
        <f>#REF!/#REF!*100</f>
        <v>#REF!</v>
      </c>
      <c r="P77" s="270" t="s">
        <v>378</v>
      </c>
      <c r="Q77" s="270">
        <f>SUM('német 3d.sz. mell. '!E13)</f>
        <v>3710</v>
      </c>
      <c r="S77" s="213" t="s">
        <v>390</v>
      </c>
      <c r="T77" s="270">
        <f>SUM(T75:T76)</f>
        <v>4247739</v>
      </c>
      <c r="U77" s="270"/>
      <c r="V77" s="270"/>
    </row>
    <row r="78" spans="1:22" s="213" customFormat="1" ht="16.5">
      <c r="A78" s="224"/>
      <c r="B78" s="34"/>
      <c r="C78" s="74"/>
      <c r="D78" s="35" t="s">
        <v>544</v>
      </c>
      <c r="E78" s="32">
        <f>E28+E64</f>
        <v>852598</v>
      </c>
      <c r="K78" s="32" t="e">
        <f>#REF!/#REF!*100</f>
        <v>#REF!</v>
      </c>
      <c r="O78"/>
      <c r="P78" s="270" t="s">
        <v>379</v>
      </c>
      <c r="Q78" s="270">
        <f>SUM('cigány 3e sz. mell'!J13)</f>
        <v>1710</v>
      </c>
      <c r="R78" s="25"/>
      <c r="S78"/>
      <c r="T78" s="270"/>
      <c r="U78" s="270"/>
      <c r="V78" s="270"/>
    </row>
    <row r="79" spans="1:22" s="213" customFormat="1" ht="16.5">
      <c r="A79" s="224"/>
      <c r="B79" s="34"/>
      <c r="C79" s="74"/>
      <c r="D79" s="35" t="s">
        <v>545</v>
      </c>
      <c r="E79" s="32">
        <f>E32+E67</f>
        <v>75446</v>
      </c>
      <c r="K79" s="32" t="e">
        <f>#REF!/#REF!*100</f>
        <v>#REF!</v>
      </c>
      <c r="N79" s="270"/>
      <c r="P79" s="213" t="s">
        <v>417</v>
      </c>
      <c r="Q79" s="270">
        <f>SUM('russzin 3f'!J13)</f>
        <v>210</v>
      </c>
      <c r="U79" s="270"/>
      <c r="V79" s="270"/>
    </row>
    <row r="80" spans="1:22" s="213" customFormat="1" ht="16.5">
      <c r="A80" s="224"/>
      <c r="B80" s="34"/>
      <c r="C80" s="74"/>
      <c r="D80" s="35" t="s">
        <v>34</v>
      </c>
      <c r="E80" s="32">
        <f>'3b.sz.melléklet'!E202+'német 3d.sz. mell. '!E23+'cigány 3e sz. mell'!J23</f>
        <v>0</v>
      </c>
      <c r="K80" s="32"/>
      <c r="O80"/>
      <c r="P80"/>
      <c r="Q80"/>
      <c r="R80"/>
      <c r="S80"/>
      <c r="T80"/>
      <c r="U80" s="270"/>
      <c r="V80" s="270"/>
    </row>
    <row r="81" spans="1:22" ht="19.5" customHeight="1">
      <c r="A81" s="1073" t="s">
        <v>546</v>
      </c>
      <c r="B81" s="1074"/>
      <c r="C81" s="1074"/>
      <c r="D81" s="1075"/>
      <c r="E81" s="216">
        <f>SUM(E77:E80)</f>
        <v>3730548</v>
      </c>
      <c r="F81" s="217"/>
      <c r="G81" s="217"/>
      <c r="H81" s="217"/>
      <c r="K81" s="216" t="e">
        <f>#REF!/#REF!*100</f>
        <v>#REF!</v>
      </c>
      <c r="O81" s="213"/>
      <c r="P81" s="213" t="s">
        <v>380</v>
      </c>
      <c r="Q81" s="270">
        <f>SUM(Q75:Q80)</f>
        <v>3730548</v>
      </c>
      <c r="R81" s="213"/>
      <c r="S81" s="213"/>
      <c r="T81" s="213"/>
      <c r="U81" s="270"/>
      <c r="V81" s="270"/>
    </row>
    <row r="82" spans="1:20" s="213" customFormat="1" ht="16.5">
      <c r="A82" s="224"/>
      <c r="B82" s="34"/>
      <c r="C82" s="74"/>
      <c r="D82" s="35"/>
      <c r="E82" s="32"/>
      <c r="K82" s="32"/>
      <c r="R82"/>
      <c r="S82"/>
      <c r="T82"/>
    </row>
    <row r="83" spans="1:20" ht="19.5" customHeight="1">
      <c r="A83" s="1073" t="s">
        <v>47</v>
      </c>
      <c r="B83" s="1074"/>
      <c r="C83" s="1074"/>
      <c r="D83" s="1075"/>
      <c r="E83" s="216">
        <f>E81+E82</f>
        <v>3730548</v>
      </c>
      <c r="F83" s="217"/>
      <c r="G83" s="217"/>
      <c r="H83" s="217"/>
      <c r="K83" s="216" t="e">
        <f>#REF!/#REF!*100</f>
        <v>#REF!</v>
      </c>
      <c r="O83" s="213"/>
      <c r="P83" s="723" t="s">
        <v>381</v>
      </c>
      <c r="Q83" s="723">
        <f>SUM(Q73-Q81)</f>
        <v>0</v>
      </c>
      <c r="S83" s="723" t="s">
        <v>387</v>
      </c>
      <c r="T83" s="723">
        <f>SUM(T73-T77)</f>
        <v>0</v>
      </c>
    </row>
    <row r="84" spans="15:22" ht="16.5">
      <c r="O84" s="213"/>
      <c r="U84" s="723"/>
      <c r="V84" s="723"/>
    </row>
  </sheetData>
  <sheetProtection/>
  <mergeCells count="29">
    <mergeCell ref="A10:D10"/>
    <mergeCell ref="A18:D18"/>
    <mergeCell ref="A47:D47"/>
    <mergeCell ref="A68:D68"/>
    <mergeCell ref="A40:D40"/>
    <mergeCell ref="A43:D43"/>
    <mergeCell ref="A29:D29"/>
    <mergeCell ref="A33:D33"/>
    <mergeCell ref="A12:D12"/>
    <mergeCell ref="A26:D26"/>
    <mergeCell ref="A1:C1"/>
    <mergeCell ref="A42:D42"/>
    <mergeCell ref="A13:D13"/>
    <mergeCell ref="A16:D16"/>
    <mergeCell ref="A17:D17"/>
    <mergeCell ref="A3:D3"/>
    <mergeCell ref="A2:D2"/>
    <mergeCell ref="A34:D34"/>
    <mergeCell ref="A28:D28"/>
    <mergeCell ref="A32:D32"/>
    <mergeCell ref="A83:D83"/>
    <mergeCell ref="A74:D74"/>
    <mergeCell ref="A76:D76"/>
    <mergeCell ref="A48:D48"/>
    <mergeCell ref="A81:D81"/>
    <mergeCell ref="A65:D65"/>
    <mergeCell ref="A67:D67"/>
    <mergeCell ref="A62:D62"/>
    <mergeCell ref="A64:D64"/>
  </mergeCells>
  <printOptions horizontalCentered="1"/>
  <pageMargins left="0.1968503937007874" right="0.1968503937007874" top="0.984251968503937" bottom="0.1968503937007874" header="0.28" footer="0.11811023622047245"/>
  <pageSetup firstPageNumber="37" useFirstPageNumber="1" horizontalDpi="600" verticalDpi="600" orientation="portrait" paperSize="9" scale="98" r:id="rId1"/>
  <headerFooter alignWithMargins="0">
    <oddHeader>&amp;C&amp;"Times New Roman,Félkövér"&amp;14
Vecsés Város Önkormányzat Polgármesteri Hivatalának  2011. évi bevételei és kiadásai&amp;R3. sz. melléklet
ezer Ft</oddHeader>
    <oddFooter>&amp;C-&amp;P -</oddFooter>
  </headerFooter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9"/>
  <sheetViews>
    <sheetView view="pageBreakPreview" zoomScale="120" zoomScaleSheetLayoutView="120" workbookViewId="0" topLeftCell="A74">
      <selection activeCell="K96" sqref="K96"/>
    </sheetView>
  </sheetViews>
  <sheetFormatPr defaultColWidth="9.140625" defaultRowHeight="12.75"/>
  <cols>
    <col min="1" max="1" width="2.140625" style="0" customWidth="1"/>
    <col min="2" max="2" width="3.57421875" style="24" customWidth="1"/>
    <col min="3" max="3" width="4.57421875" style="24" customWidth="1"/>
    <col min="4" max="4" width="64.8515625" style="0" customWidth="1"/>
    <col min="5" max="5" width="13.7109375" style="0" customWidth="1"/>
    <col min="6" max="8" width="9.140625" style="0" hidden="1" customWidth="1"/>
    <col min="9" max="9" width="8.140625" style="0" hidden="1" customWidth="1"/>
  </cols>
  <sheetData>
    <row r="1" spans="1:9" ht="48" customHeight="1">
      <c r="A1" s="1076" t="s">
        <v>9</v>
      </c>
      <c r="B1" s="1076"/>
      <c r="C1" s="1076"/>
      <c r="D1" s="1" t="s">
        <v>10</v>
      </c>
      <c r="E1" s="204" t="s">
        <v>1133</v>
      </c>
      <c r="I1" s="191" t="s">
        <v>12</v>
      </c>
    </row>
    <row r="2" spans="1:9" ht="18.75">
      <c r="A2" s="14"/>
      <c r="B2" s="15"/>
      <c r="C2" s="16"/>
      <c r="D2" s="26" t="s">
        <v>189</v>
      </c>
      <c r="E2" s="18"/>
      <c r="I2" s="251"/>
    </row>
    <row r="3" spans="1:9" ht="19.5" customHeight="1">
      <c r="A3" s="1073" t="s">
        <v>648</v>
      </c>
      <c r="B3" s="1074"/>
      <c r="C3" s="1074"/>
      <c r="D3" s="1075"/>
      <c r="E3" s="216"/>
      <c r="F3" s="217">
        <f>F84+F89</f>
        <v>0</v>
      </c>
      <c r="G3" s="217">
        <f>G84+G89</f>
        <v>0</v>
      </c>
      <c r="H3" s="217">
        <f>H84+H89</f>
        <v>0</v>
      </c>
      <c r="I3" s="216"/>
    </row>
    <row r="4" spans="1:9" s="213" customFormat="1" ht="16.5">
      <c r="A4" s="66"/>
      <c r="B4" s="34" t="s">
        <v>16</v>
      </c>
      <c r="C4" s="74"/>
      <c r="D4" s="35" t="s">
        <v>48</v>
      </c>
      <c r="E4" s="32">
        <f>SUM(E5+E7+E15+E25+E26+E27)</f>
        <v>84021</v>
      </c>
      <c r="I4" s="32" t="e">
        <f>#REF!/#REF!*100</f>
        <v>#REF!</v>
      </c>
    </row>
    <row r="5" spans="1:9" s="52" customFormat="1" ht="15">
      <c r="A5" s="50"/>
      <c r="B5" s="158" t="s">
        <v>54</v>
      </c>
      <c r="C5" s="43"/>
      <c r="D5" s="44" t="s">
        <v>647</v>
      </c>
      <c r="E5" s="45">
        <f>E6</f>
        <v>6000</v>
      </c>
      <c r="I5" s="45" t="e">
        <f>#REF!/#REF!*100</f>
        <v>#REF!</v>
      </c>
    </row>
    <row r="6" spans="1:9" s="112" customFormat="1" ht="15">
      <c r="A6" s="9"/>
      <c r="B6" s="1122" t="s">
        <v>1389</v>
      </c>
      <c r="C6" s="1075"/>
      <c r="D6" s="12" t="s">
        <v>190</v>
      </c>
      <c r="E6" s="13">
        <v>6000</v>
      </c>
      <c r="I6" s="13" t="e">
        <f>#REF!/#REF!*100</f>
        <v>#REF!</v>
      </c>
    </row>
    <row r="7" spans="1:9" s="52" customFormat="1" ht="15">
      <c r="A7" s="50"/>
      <c r="B7" s="158" t="s">
        <v>55</v>
      </c>
      <c r="C7" s="43"/>
      <c r="D7" s="44" t="s">
        <v>76</v>
      </c>
      <c r="E7" s="45">
        <f>E8+E9</f>
        <v>17000</v>
      </c>
      <c r="I7" s="45" t="e">
        <f>#REF!/#REF!*100</f>
        <v>#REF!</v>
      </c>
    </row>
    <row r="8" spans="1:9" ht="15">
      <c r="A8" s="9"/>
      <c r="B8" s="1118" t="s">
        <v>74</v>
      </c>
      <c r="C8" s="1119"/>
      <c r="D8" s="12" t="s">
        <v>104</v>
      </c>
      <c r="E8" s="13"/>
      <c r="I8" s="13"/>
    </row>
    <row r="9" spans="1:9" s="52" customFormat="1" ht="15">
      <c r="A9" s="50"/>
      <c r="B9" s="1120" t="s">
        <v>105</v>
      </c>
      <c r="C9" s="1121"/>
      <c r="D9" s="47" t="s">
        <v>215</v>
      </c>
      <c r="E9" s="58">
        <f>SUM(E10:E14)</f>
        <v>17000</v>
      </c>
      <c r="I9" s="58" t="e">
        <f>#REF!/#REF!*100</f>
        <v>#REF!</v>
      </c>
    </row>
    <row r="10" spans="1:9" s="161" customFormat="1" ht="15">
      <c r="A10" s="9"/>
      <c r="B10" s="1188" t="s">
        <v>1469</v>
      </c>
      <c r="C10" s="1189"/>
      <c r="D10" s="12" t="s">
        <v>217</v>
      </c>
      <c r="E10" s="173">
        <v>12000</v>
      </c>
      <c r="I10" s="173" t="e">
        <f>#REF!/#REF!*100</f>
        <v>#REF!</v>
      </c>
    </row>
    <row r="11" spans="1:9" s="161" customFormat="1" ht="15">
      <c r="A11" s="9"/>
      <c r="B11" s="1188" t="s">
        <v>1470</v>
      </c>
      <c r="C11" s="1189"/>
      <c r="D11" s="12" t="s">
        <v>221</v>
      </c>
      <c r="E11" s="173">
        <v>0</v>
      </c>
      <c r="I11" s="173" t="e">
        <f>#REF!/#REF!*100</f>
        <v>#REF!</v>
      </c>
    </row>
    <row r="12" spans="1:9" s="161" customFormat="1" ht="15">
      <c r="A12" s="9"/>
      <c r="B12" s="1188" t="s">
        <v>1471</v>
      </c>
      <c r="C12" s="1189"/>
      <c r="D12" s="12" t="s">
        <v>223</v>
      </c>
      <c r="E12" s="173">
        <v>3500</v>
      </c>
      <c r="I12" s="173" t="e">
        <f>#REF!/#REF!*100</f>
        <v>#REF!</v>
      </c>
    </row>
    <row r="13" spans="1:9" s="161" customFormat="1" ht="15">
      <c r="A13" s="9"/>
      <c r="B13" s="1188" t="s">
        <v>1472</v>
      </c>
      <c r="C13" s="1189"/>
      <c r="D13" s="12" t="s">
        <v>225</v>
      </c>
      <c r="E13" s="173">
        <v>1500</v>
      </c>
      <c r="I13" s="173"/>
    </row>
    <row r="14" spans="1:9" s="161" customFormat="1" ht="15">
      <c r="A14" s="9"/>
      <c r="B14" s="1188" t="s">
        <v>1473</v>
      </c>
      <c r="C14" s="1189"/>
      <c r="D14" s="12" t="s">
        <v>106</v>
      </c>
      <c r="E14" s="173">
        <v>0</v>
      </c>
      <c r="I14" s="173"/>
    </row>
    <row r="15" spans="1:9" s="52" customFormat="1" ht="15">
      <c r="A15" s="50"/>
      <c r="B15" s="158" t="s">
        <v>302</v>
      </c>
      <c r="C15" s="43"/>
      <c r="D15" s="44" t="s">
        <v>75</v>
      </c>
      <c r="E15" s="45">
        <f>E16+E24</f>
        <v>50897</v>
      </c>
      <c r="I15" s="45" t="e">
        <f>#REF!/#REF!*100</f>
        <v>#REF!</v>
      </c>
    </row>
    <row r="16" spans="1:9" s="52" customFormat="1" ht="15">
      <c r="A16" s="50"/>
      <c r="B16" s="51" t="s">
        <v>1465</v>
      </c>
      <c r="C16" s="206"/>
      <c r="D16" s="47" t="s">
        <v>102</v>
      </c>
      <c r="E16" s="48">
        <f>SUM(E17,E23)</f>
        <v>49597</v>
      </c>
      <c r="I16" s="48" t="e">
        <f>#REF!/#REF!*100</f>
        <v>#REF!</v>
      </c>
    </row>
    <row r="17" spans="1:9" ht="15">
      <c r="A17" s="9"/>
      <c r="B17" s="1118" t="s">
        <v>107</v>
      </c>
      <c r="C17" s="1119"/>
      <c r="D17" s="47" t="s">
        <v>205</v>
      </c>
      <c r="E17" s="48">
        <f>SUM(E18:E22)</f>
        <v>48497</v>
      </c>
      <c r="I17" s="48" t="e">
        <f>#REF!/#REF!*100</f>
        <v>#REF!</v>
      </c>
    </row>
    <row r="18" spans="1:9" ht="15">
      <c r="A18" s="9"/>
      <c r="B18" s="1190" t="s">
        <v>1474</v>
      </c>
      <c r="C18" s="1191"/>
      <c r="D18" s="12" t="s">
        <v>207</v>
      </c>
      <c r="E18" s="13">
        <v>8000</v>
      </c>
      <c r="I18" s="13" t="e">
        <f>#REF!/#REF!*100</f>
        <v>#REF!</v>
      </c>
    </row>
    <row r="19" spans="1:9" ht="15" hidden="1">
      <c r="A19" s="9"/>
      <c r="B19" s="15"/>
      <c r="C19" s="79"/>
      <c r="D19" s="12" t="s">
        <v>209</v>
      </c>
      <c r="E19" s="13"/>
      <c r="I19" s="13" t="e">
        <f>#REF!/#REF!*100</f>
        <v>#REF!</v>
      </c>
    </row>
    <row r="20" spans="1:9" ht="15">
      <c r="A20" s="9"/>
      <c r="B20" s="1190" t="s">
        <v>1475</v>
      </c>
      <c r="C20" s="1191"/>
      <c r="D20" s="12" t="s">
        <v>211</v>
      </c>
      <c r="E20" s="13">
        <v>40497</v>
      </c>
      <c r="I20" s="13" t="e">
        <f>#REF!/#REF!*100</f>
        <v>#REF!</v>
      </c>
    </row>
    <row r="21" spans="1:9" ht="15" hidden="1">
      <c r="A21" s="9"/>
      <c r="B21" s="15"/>
      <c r="C21" s="79"/>
      <c r="D21" s="12" t="s">
        <v>213</v>
      </c>
      <c r="E21" s="13"/>
      <c r="I21" s="13" t="e">
        <f>#REF!/#REF!*100</f>
        <v>#REF!</v>
      </c>
    </row>
    <row r="22" spans="1:9" ht="15">
      <c r="A22" s="9"/>
      <c r="B22" s="1190" t="s">
        <v>1476</v>
      </c>
      <c r="C22" s="1191"/>
      <c r="D22" s="12" t="s">
        <v>363</v>
      </c>
      <c r="E22" s="13"/>
      <c r="I22" s="13" t="e">
        <f>#REF!/#REF!*100</f>
        <v>#REF!</v>
      </c>
    </row>
    <row r="23" spans="1:9" ht="15">
      <c r="A23" s="9"/>
      <c r="B23" s="1118" t="s">
        <v>108</v>
      </c>
      <c r="C23" s="1119"/>
      <c r="D23" s="47" t="s">
        <v>103</v>
      </c>
      <c r="E23" s="48">
        <v>1100</v>
      </c>
      <c r="I23" s="48" t="e">
        <f>#REF!/#REF!*100</f>
        <v>#REF!</v>
      </c>
    </row>
    <row r="24" spans="1:9" s="52" customFormat="1" ht="15">
      <c r="A24" s="50"/>
      <c r="B24" s="158" t="s">
        <v>1466</v>
      </c>
      <c r="C24" s="206"/>
      <c r="D24" s="47" t="s">
        <v>1064</v>
      </c>
      <c r="E24" s="48">
        <v>1300</v>
      </c>
      <c r="I24" s="48" t="e">
        <f>#REF!/#REF!*100</f>
        <v>#REF!</v>
      </c>
    </row>
    <row r="25" spans="1:9" s="52" customFormat="1" ht="15">
      <c r="A25" s="50"/>
      <c r="B25" s="158" t="s">
        <v>303</v>
      </c>
      <c r="C25" s="43"/>
      <c r="D25" s="44" t="s">
        <v>109</v>
      </c>
      <c r="E25" s="45"/>
      <c r="I25" s="45"/>
    </row>
    <row r="26" spans="1:12" s="52" customFormat="1" ht="15">
      <c r="A26" s="50"/>
      <c r="B26" s="158" t="s">
        <v>110</v>
      </c>
      <c r="C26" s="43"/>
      <c r="D26" s="44" t="s">
        <v>230</v>
      </c>
      <c r="E26" s="45">
        <v>10124</v>
      </c>
      <c r="I26" s="45" t="e">
        <f>#REF!/#REF!*100</f>
        <v>#REF!</v>
      </c>
      <c r="L26" s="159"/>
    </row>
    <row r="27" spans="1:9" s="52" customFormat="1" ht="15">
      <c r="A27" s="50"/>
      <c r="B27" s="158" t="s">
        <v>631</v>
      </c>
      <c r="C27" s="43"/>
      <c r="D27" s="44" t="s">
        <v>634</v>
      </c>
      <c r="E27" s="45"/>
      <c r="I27" s="45" t="e">
        <f>#REF!/#REF!*100</f>
        <v>#REF!</v>
      </c>
    </row>
    <row r="28" spans="1:9" s="213" customFormat="1" ht="16.5">
      <c r="A28" s="66"/>
      <c r="B28" s="34" t="s">
        <v>17</v>
      </c>
      <c r="C28" s="74"/>
      <c r="D28" s="35" t="s">
        <v>18</v>
      </c>
      <c r="E28" s="32">
        <f>SUM(E29+E36+E41+E42+E43+E44)</f>
        <v>1973739</v>
      </c>
      <c r="I28" s="32" t="e">
        <f>#REF!/#REF!*100</f>
        <v>#REF!</v>
      </c>
    </row>
    <row r="29" spans="1:9" s="52" customFormat="1" ht="15">
      <c r="A29" s="50"/>
      <c r="B29" s="158" t="s">
        <v>65</v>
      </c>
      <c r="C29" s="43"/>
      <c r="D29" s="44" t="s">
        <v>56</v>
      </c>
      <c r="E29" s="45">
        <f>SUM(E30:E35)</f>
        <v>1496533</v>
      </c>
      <c r="I29" s="45" t="e">
        <f>#REF!/#REF!*100</f>
        <v>#REF!</v>
      </c>
    </row>
    <row r="30" spans="1:9" ht="15">
      <c r="A30" s="9"/>
      <c r="B30" s="1118" t="s">
        <v>66</v>
      </c>
      <c r="C30" s="1119"/>
      <c r="D30" s="12" t="s">
        <v>57</v>
      </c>
      <c r="E30" s="13">
        <v>240000</v>
      </c>
      <c r="I30" s="13" t="e">
        <f>#REF!/#REF!*100</f>
        <v>#REF!</v>
      </c>
    </row>
    <row r="31" spans="1:12" ht="15">
      <c r="A31" s="9"/>
      <c r="B31" s="1118" t="s">
        <v>191</v>
      </c>
      <c r="C31" s="1119"/>
      <c r="D31" s="12" t="s">
        <v>58</v>
      </c>
      <c r="E31" s="13">
        <v>1248533</v>
      </c>
      <c r="I31" s="13" t="e">
        <f>#REF!/#REF!*100</f>
        <v>#REF!</v>
      </c>
      <c r="L31" s="25"/>
    </row>
    <row r="32" spans="1:9" ht="15">
      <c r="A32" s="9"/>
      <c r="B32" s="1118" t="s">
        <v>59</v>
      </c>
      <c r="C32" s="1119"/>
      <c r="D32" s="12" t="s">
        <v>60</v>
      </c>
      <c r="E32" s="49"/>
      <c r="I32" s="13"/>
    </row>
    <row r="33" spans="1:9" ht="15">
      <c r="A33" s="9"/>
      <c r="B33" s="1118" t="s">
        <v>192</v>
      </c>
      <c r="C33" s="1119"/>
      <c r="D33" s="12" t="s">
        <v>61</v>
      </c>
      <c r="E33" s="13"/>
      <c r="I33" s="13"/>
    </row>
    <row r="34" spans="1:12" ht="15">
      <c r="A34" s="9"/>
      <c r="B34" s="1118" t="s">
        <v>69</v>
      </c>
      <c r="C34" s="1119"/>
      <c r="D34" s="12" t="s">
        <v>362</v>
      </c>
      <c r="E34" s="13">
        <v>5000</v>
      </c>
      <c r="I34" s="13" t="e">
        <f>#REF!/#REF!*100</f>
        <v>#REF!</v>
      </c>
      <c r="L34" s="25"/>
    </row>
    <row r="35" spans="1:12" ht="15">
      <c r="A35" s="9"/>
      <c r="B35" s="1118" t="s">
        <v>1077</v>
      </c>
      <c r="C35" s="1119"/>
      <c r="D35" s="12" t="s">
        <v>1076</v>
      </c>
      <c r="E35" s="13">
        <v>3000</v>
      </c>
      <c r="I35" s="13"/>
      <c r="L35" s="25"/>
    </row>
    <row r="36" spans="1:12" s="52" customFormat="1" ht="15">
      <c r="A36" s="50"/>
      <c r="B36" s="158" t="s">
        <v>182</v>
      </c>
      <c r="C36" s="43"/>
      <c r="D36" s="44" t="s">
        <v>62</v>
      </c>
      <c r="E36" s="45">
        <f>SUM(E37:E40)</f>
        <v>477206</v>
      </c>
      <c r="I36" s="45" t="e">
        <f>#REF!/#REF!*100</f>
        <v>#REF!</v>
      </c>
      <c r="L36" s="25"/>
    </row>
    <row r="37" spans="1:12" ht="15">
      <c r="A37" s="9"/>
      <c r="B37" s="1118" t="s">
        <v>193</v>
      </c>
      <c r="C37" s="1119"/>
      <c r="D37" s="12" t="s">
        <v>1446</v>
      </c>
      <c r="E37" s="13">
        <v>277206</v>
      </c>
      <c r="I37" s="13" t="e">
        <f>#REF!/#REF!*100</f>
        <v>#REF!</v>
      </c>
      <c r="K37" s="25"/>
      <c r="L37" s="25"/>
    </row>
    <row r="38" spans="1:12" ht="15" hidden="1">
      <c r="A38" s="14"/>
      <c r="B38" s="1118" t="s">
        <v>194</v>
      </c>
      <c r="C38" s="1119"/>
      <c r="D38" s="12" t="s">
        <v>63</v>
      </c>
      <c r="E38" s="13"/>
      <c r="I38" s="13"/>
      <c r="K38" s="25"/>
      <c r="L38" s="25"/>
    </row>
    <row r="39" spans="1:12" ht="15" hidden="1">
      <c r="A39" s="14"/>
      <c r="B39" s="1118" t="s">
        <v>120</v>
      </c>
      <c r="C39" s="1119"/>
      <c r="D39" s="12" t="s">
        <v>121</v>
      </c>
      <c r="E39" s="13"/>
      <c r="I39" s="13" t="e">
        <f>#REF!/#REF!*100</f>
        <v>#REF!</v>
      </c>
      <c r="K39" s="25"/>
      <c r="L39" s="25"/>
    </row>
    <row r="40" spans="1:11" ht="15">
      <c r="A40" s="9"/>
      <c r="B40" s="1118" t="s">
        <v>119</v>
      </c>
      <c r="C40" s="1119"/>
      <c r="D40" s="12" t="s">
        <v>64</v>
      </c>
      <c r="E40" s="13">
        <v>200000</v>
      </c>
      <c r="I40" s="13" t="e">
        <f>#REF!/#REF!*100</f>
        <v>#REF!</v>
      </c>
      <c r="K40" s="25"/>
    </row>
    <row r="41" spans="1:11" s="52" customFormat="1" ht="15">
      <c r="A41" s="50"/>
      <c r="B41" s="158" t="s">
        <v>183</v>
      </c>
      <c r="C41" s="43"/>
      <c r="D41" s="44" t="s">
        <v>111</v>
      </c>
      <c r="E41" s="45"/>
      <c r="I41" s="45"/>
      <c r="K41" s="25"/>
    </row>
    <row r="42" spans="1:11" s="52" customFormat="1" ht="15">
      <c r="A42" s="50"/>
      <c r="B42" s="158" t="s">
        <v>112</v>
      </c>
      <c r="C42" s="43"/>
      <c r="D42" s="44" t="s">
        <v>113</v>
      </c>
      <c r="E42" s="45"/>
      <c r="I42" s="45"/>
      <c r="K42" s="25"/>
    </row>
    <row r="43" spans="1:11" s="52" customFormat="1" ht="15">
      <c r="A43" s="50"/>
      <c r="B43" s="158" t="s">
        <v>114</v>
      </c>
      <c r="C43" s="43"/>
      <c r="D43" s="44" t="s">
        <v>115</v>
      </c>
      <c r="E43" s="45"/>
      <c r="I43" s="45"/>
      <c r="K43" s="25"/>
    </row>
    <row r="44" spans="1:13" s="52" customFormat="1" ht="15">
      <c r="A44" s="50"/>
      <c r="B44" s="158" t="s">
        <v>116</v>
      </c>
      <c r="C44" s="43"/>
      <c r="D44" s="44" t="s">
        <v>117</v>
      </c>
      <c r="E44" s="45"/>
      <c r="I44" s="45"/>
      <c r="K44" s="25"/>
      <c r="M44" s="159"/>
    </row>
    <row r="45" spans="1:11" s="52" customFormat="1" ht="15">
      <c r="A45" s="50"/>
      <c r="B45" s="158" t="s">
        <v>118</v>
      </c>
      <c r="C45" s="206"/>
      <c r="D45" s="47" t="s">
        <v>1095</v>
      </c>
      <c r="E45" s="48"/>
      <c r="I45" s="48"/>
      <c r="K45" s="25"/>
    </row>
    <row r="46" spans="1:11" s="213" customFormat="1" ht="16.5">
      <c r="A46" s="66"/>
      <c r="B46" s="34" t="s">
        <v>36</v>
      </c>
      <c r="C46" s="74"/>
      <c r="D46" s="35" t="s">
        <v>21</v>
      </c>
      <c r="E46" s="32">
        <f>SUM(E47+E48+E62+E54)</f>
        <v>764308</v>
      </c>
      <c r="I46" s="32" t="e">
        <f>#REF!/#REF!*100</f>
        <v>#REF!</v>
      </c>
      <c r="K46" s="25"/>
    </row>
    <row r="47" spans="1:11" s="52" customFormat="1" ht="15">
      <c r="A47" s="50"/>
      <c r="B47" s="158" t="s">
        <v>124</v>
      </c>
      <c r="C47" s="43"/>
      <c r="D47" s="44" t="s">
        <v>129</v>
      </c>
      <c r="E47" s="45">
        <v>760449</v>
      </c>
      <c r="I47" s="45" t="e">
        <f>#REF!/#REF!*100</f>
        <v>#REF!</v>
      </c>
      <c r="K47" s="25"/>
    </row>
    <row r="48" spans="1:9" s="52" customFormat="1" ht="15">
      <c r="A48" s="50"/>
      <c r="B48" s="158" t="s">
        <v>125</v>
      </c>
      <c r="C48" s="43"/>
      <c r="D48" s="44" t="s">
        <v>1193</v>
      </c>
      <c r="E48" s="45">
        <f>SUM(E49:E53)</f>
        <v>3859</v>
      </c>
      <c r="I48" s="45" t="e">
        <f>#REF!/#REF!*100</f>
        <v>#REF!</v>
      </c>
    </row>
    <row r="49" spans="1:9" ht="15" customHeight="1">
      <c r="A49" s="9"/>
      <c r="B49" s="1118" t="s">
        <v>126</v>
      </c>
      <c r="C49" s="1119"/>
      <c r="D49" s="12" t="s">
        <v>897</v>
      </c>
      <c r="E49" s="13">
        <v>1681</v>
      </c>
      <c r="I49" s="13" t="e">
        <f>#REF!/#REF!*100</f>
        <v>#REF!</v>
      </c>
    </row>
    <row r="50" spans="1:9" ht="15" customHeight="1">
      <c r="A50" s="9"/>
      <c r="B50" s="1118" t="s">
        <v>127</v>
      </c>
      <c r="C50" s="1119"/>
      <c r="D50" s="12" t="s">
        <v>122</v>
      </c>
      <c r="E50" s="13">
        <v>1811</v>
      </c>
      <c r="I50" s="13" t="e">
        <f>#REF!/#REF!*100</f>
        <v>#REF!</v>
      </c>
    </row>
    <row r="51" spans="1:9" ht="15" customHeight="1">
      <c r="A51" s="9"/>
      <c r="B51" s="1118" t="s">
        <v>128</v>
      </c>
      <c r="C51" s="1119"/>
      <c r="D51" s="12" t="s">
        <v>123</v>
      </c>
      <c r="E51" s="13">
        <v>367</v>
      </c>
      <c r="I51" s="13" t="e">
        <f>#REF!/#REF!*100</f>
        <v>#REF!</v>
      </c>
    </row>
    <row r="52" spans="1:9" ht="15" customHeight="1">
      <c r="A52" s="9"/>
      <c r="B52" s="1118" t="s">
        <v>614</v>
      </c>
      <c r="C52" s="1119"/>
      <c r="D52" s="12" t="s">
        <v>1068</v>
      </c>
      <c r="E52" s="13"/>
      <c r="I52" s="13"/>
    </row>
    <row r="53" spans="1:9" ht="15" customHeight="1">
      <c r="A53" s="9"/>
      <c r="B53" s="1118" t="s">
        <v>615</v>
      </c>
      <c r="C53" s="1119"/>
      <c r="D53" s="12" t="s">
        <v>617</v>
      </c>
      <c r="E53" s="13"/>
      <c r="I53" s="13"/>
    </row>
    <row r="54" spans="1:9" s="52" customFormat="1" ht="15">
      <c r="A54" s="50"/>
      <c r="B54" s="158" t="s">
        <v>1408</v>
      </c>
      <c r="C54" s="43"/>
      <c r="D54" s="44" t="s">
        <v>130</v>
      </c>
      <c r="E54" s="45">
        <f>E55+E61</f>
        <v>0</v>
      </c>
      <c r="I54" s="45"/>
    </row>
    <row r="55" spans="1:9" ht="15" customHeight="1" hidden="1">
      <c r="A55" s="14"/>
      <c r="B55" s="1118" t="s">
        <v>131</v>
      </c>
      <c r="C55" s="1119"/>
      <c r="D55" s="12" t="s">
        <v>67</v>
      </c>
      <c r="E55" s="13"/>
      <c r="I55" s="13"/>
    </row>
    <row r="56" spans="1:9" ht="15" customHeight="1" hidden="1">
      <c r="A56" s="14"/>
      <c r="B56" s="1118" t="s">
        <v>132</v>
      </c>
      <c r="C56" s="1119"/>
      <c r="D56" s="7" t="s">
        <v>196</v>
      </c>
      <c r="E56" s="13"/>
      <c r="I56" s="13"/>
    </row>
    <row r="57" spans="1:9" ht="15" customHeight="1" hidden="1">
      <c r="A57" s="14"/>
      <c r="B57" s="1118" t="s">
        <v>133</v>
      </c>
      <c r="C57" s="1119"/>
      <c r="D57" s="7" t="s">
        <v>197</v>
      </c>
      <c r="E57" s="13"/>
      <c r="I57" s="13"/>
    </row>
    <row r="58" spans="1:9" ht="16.5" customHeight="1" hidden="1">
      <c r="A58" s="14"/>
      <c r="B58" s="15"/>
      <c r="C58" s="79" t="s">
        <v>145</v>
      </c>
      <c r="D58" s="7" t="s">
        <v>198</v>
      </c>
      <c r="E58" s="13"/>
      <c r="F58" s="25"/>
      <c r="I58" s="13" t="e">
        <f>#REF!/#REF!*100</f>
        <v>#REF!</v>
      </c>
    </row>
    <row r="59" spans="1:9" ht="14.25" customHeight="1" hidden="1">
      <c r="A59" s="14"/>
      <c r="B59" s="15"/>
      <c r="C59" s="79" t="s">
        <v>199</v>
      </c>
      <c r="D59" s="7" t="s">
        <v>68</v>
      </c>
      <c r="E59" s="13"/>
      <c r="I59" s="13" t="e">
        <f>#REF!/#REF!*100</f>
        <v>#REF!</v>
      </c>
    </row>
    <row r="60" spans="1:9" ht="14.25" customHeight="1" hidden="1">
      <c r="A60" s="14"/>
      <c r="B60" s="15"/>
      <c r="C60" s="79" t="s">
        <v>200</v>
      </c>
      <c r="D60" s="7" t="s">
        <v>70</v>
      </c>
      <c r="E60" s="13"/>
      <c r="I60" s="13" t="e">
        <f>#REF!/#REF!*100</f>
        <v>#REF!</v>
      </c>
    </row>
    <row r="61" spans="1:9" ht="14.25" customHeight="1" hidden="1">
      <c r="A61" s="14"/>
      <c r="B61" s="1118" t="s">
        <v>618</v>
      </c>
      <c r="C61" s="1119"/>
      <c r="D61" s="7" t="s">
        <v>130</v>
      </c>
      <c r="E61" s="13"/>
      <c r="I61" s="13"/>
    </row>
    <row r="62" spans="1:9" s="52" customFormat="1" ht="15" hidden="1">
      <c r="A62" s="50"/>
      <c r="B62" s="158" t="s">
        <v>135</v>
      </c>
      <c r="C62" s="43"/>
      <c r="D62" s="44" t="s">
        <v>136</v>
      </c>
      <c r="E62" s="45"/>
      <c r="I62" s="45"/>
    </row>
    <row r="63" spans="1:9" ht="15" customHeight="1" hidden="1">
      <c r="A63" s="14"/>
      <c r="B63" s="1118" t="s">
        <v>137</v>
      </c>
      <c r="C63" s="1119"/>
      <c r="D63" s="12" t="s">
        <v>187</v>
      </c>
      <c r="E63" s="13"/>
      <c r="I63" s="13"/>
    </row>
    <row r="64" spans="1:9" ht="15" customHeight="1" hidden="1">
      <c r="A64" s="14"/>
      <c r="B64" s="1120" t="s">
        <v>140</v>
      </c>
      <c r="C64" s="1121"/>
      <c r="D64" s="47" t="s">
        <v>141</v>
      </c>
      <c r="E64" s="48"/>
      <c r="I64" s="48"/>
    </row>
    <row r="65" spans="1:9" ht="15" customHeight="1" hidden="1">
      <c r="A65" s="14"/>
      <c r="B65" s="1118" t="s">
        <v>138</v>
      </c>
      <c r="C65" s="1119"/>
      <c r="D65" s="12" t="s">
        <v>139</v>
      </c>
      <c r="E65" s="13"/>
      <c r="I65" s="13"/>
    </row>
    <row r="66" spans="1:9" s="213" customFormat="1" ht="16.5">
      <c r="A66" s="66"/>
      <c r="B66" s="34" t="s">
        <v>37</v>
      </c>
      <c r="C66" s="74"/>
      <c r="D66" s="35" t="s">
        <v>619</v>
      </c>
      <c r="E66" s="32">
        <f>E67</f>
        <v>28109</v>
      </c>
      <c r="I66" s="32" t="e">
        <f>#REF!/#REF!*100</f>
        <v>#REF!</v>
      </c>
    </row>
    <row r="67" spans="1:13" s="52" customFormat="1" ht="15">
      <c r="A67" s="50"/>
      <c r="B67" s="158" t="s">
        <v>353</v>
      </c>
      <c r="C67" s="43"/>
      <c r="D67" s="44" t="s">
        <v>620</v>
      </c>
      <c r="E67" s="45">
        <f>SUM(E74+E68)</f>
        <v>28109</v>
      </c>
      <c r="I67" s="45" t="e">
        <f>#REF!/#REF!*100</f>
        <v>#REF!</v>
      </c>
      <c r="M67" s="52">
        <v>22298</v>
      </c>
    </row>
    <row r="68" spans="1:9" s="52" customFormat="1" ht="15" hidden="1">
      <c r="A68" s="50"/>
      <c r="B68" s="158"/>
      <c r="C68" s="43"/>
      <c r="D68" s="47" t="s">
        <v>86</v>
      </c>
      <c r="E68" s="45">
        <f>SUM(E69:E71)</f>
        <v>0</v>
      </c>
      <c r="I68" s="45"/>
    </row>
    <row r="69" spans="1:9" s="52" customFormat="1" ht="15" hidden="1">
      <c r="A69" s="50"/>
      <c r="B69" s="158"/>
      <c r="C69" s="43"/>
      <c r="D69" s="194" t="s">
        <v>413</v>
      </c>
      <c r="E69" s="48"/>
      <c r="I69" s="45"/>
    </row>
    <row r="70" spans="1:9" s="52" customFormat="1" ht="15" hidden="1">
      <c r="A70" s="50"/>
      <c r="B70" s="158"/>
      <c r="C70" s="43"/>
      <c r="D70" s="194" t="s">
        <v>87</v>
      </c>
      <c r="E70" s="48"/>
      <c r="I70" s="45"/>
    </row>
    <row r="71" spans="1:9" s="52" customFormat="1" ht="15" hidden="1">
      <c r="A71" s="50"/>
      <c r="B71" s="158"/>
      <c r="C71" s="43"/>
      <c r="D71" s="194" t="s">
        <v>88</v>
      </c>
      <c r="E71" s="48"/>
      <c r="I71" s="45"/>
    </row>
    <row r="72" spans="1:9" s="52" customFormat="1" ht="15" hidden="1">
      <c r="A72" s="50"/>
      <c r="B72" s="158"/>
      <c r="C72" s="43"/>
      <c r="D72" s="44"/>
      <c r="E72" s="45"/>
      <c r="I72" s="45"/>
    </row>
    <row r="73" spans="1:9" s="52" customFormat="1" ht="15" hidden="1">
      <c r="A73" s="50"/>
      <c r="B73" s="158"/>
      <c r="C73" s="43"/>
      <c r="D73" s="44"/>
      <c r="E73" s="45"/>
      <c r="I73" s="45"/>
    </row>
    <row r="74" spans="1:13" s="52" customFormat="1" ht="15">
      <c r="A74" s="50"/>
      <c r="B74" s="158" t="s">
        <v>1477</v>
      </c>
      <c r="C74" s="206"/>
      <c r="D74" s="47" t="s">
        <v>1194</v>
      </c>
      <c r="E74" s="48">
        <f>SUM(E75:E76)</f>
        <v>28109</v>
      </c>
      <c r="I74" s="48"/>
      <c r="M74" s="52">
        <v>9136</v>
      </c>
    </row>
    <row r="75" spans="1:9" s="52" customFormat="1" ht="15">
      <c r="A75" s="50"/>
      <c r="B75" s="1192" t="s">
        <v>1478</v>
      </c>
      <c r="C75" s="206"/>
      <c r="D75" s="194" t="s">
        <v>77</v>
      </c>
      <c r="E75" s="48">
        <v>22298</v>
      </c>
      <c r="I75" s="48"/>
    </row>
    <row r="76" spans="1:9" s="52" customFormat="1" ht="15">
      <c r="A76" s="50"/>
      <c r="B76" s="1192" t="s">
        <v>1479</v>
      </c>
      <c r="C76" s="206"/>
      <c r="D76" s="194" t="s">
        <v>231</v>
      </c>
      <c r="E76" s="48">
        <v>5811</v>
      </c>
      <c r="I76" s="48"/>
    </row>
    <row r="77" spans="1:13" s="213" customFormat="1" ht="16.5">
      <c r="A77" s="66"/>
      <c r="B77" s="34" t="s">
        <v>38</v>
      </c>
      <c r="C77" s="74"/>
      <c r="D77" s="35" t="s">
        <v>621</v>
      </c>
      <c r="E77" s="32">
        <f>E78</f>
        <v>0</v>
      </c>
      <c r="I77" s="32"/>
      <c r="M77" s="213">
        <f>SUM(M67:M74)</f>
        <v>31434</v>
      </c>
    </row>
    <row r="78" spans="1:9" s="52" customFormat="1" ht="15" hidden="1">
      <c r="A78" s="50"/>
      <c r="B78" s="158" t="s">
        <v>143</v>
      </c>
      <c r="C78" s="43"/>
      <c r="D78" s="44" t="s">
        <v>412</v>
      </c>
      <c r="E78" s="45"/>
      <c r="I78" s="45"/>
    </row>
    <row r="79" spans="1:9" s="52" customFormat="1" ht="15">
      <c r="A79" s="50"/>
      <c r="B79" s="158" t="s">
        <v>143</v>
      </c>
      <c r="C79" s="43"/>
      <c r="D79" s="44" t="s">
        <v>622</v>
      </c>
      <c r="E79" s="45"/>
      <c r="I79" s="45"/>
    </row>
    <row r="80" spans="1:9" s="213" customFormat="1" ht="16.5">
      <c r="A80" s="66"/>
      <c r="B80" s="34" t="s">
        <v>39</v>
      </c>
      <c r="C80" s="74"/>
      <c r="D80" s="35" t="s">
        <v>142</v>
      </c>
      <c r="E80" s="32"/>
      <c r="I80" s="32"/>
    </row>
    <row r="81" spans="1:9" ht="19.5" customHeight="1">
      <c r="A81" s="1067" t="s">
        <v>508</v>
      </c>
      <c r="B81" s="1068"/>
      <c r="C81" s="1068"/>
      <c r="D81" s="1069"/>
      <c r="E81" s="215">
        <f>E4+E28+E46+E66+E77+E80</f>
        <v>2850177</v>
      </c>
      <c r="I81" s="215" t="e">
        <f>#REF!/#REF!*100</f>
        <v>#REF!</v>
      </c>
    </row>
    <row r="82" spans="1:9" s="213" customFormat="1" ht="31.5" customHeight="1">
      <c r="A82" s="66"/>
      <c r="B82" s="1027" t="s">
        <v>714</v>
      </c>
      <c r="C82" s="74"/>
      <c r="D82" s="1026" t="s">
        <v>567</v>
      </c>
      <c r="E82" s="32">
        <v>0</v>
      </c>
      <c r="I82" s="32" t="e">
        <f>#REF!/#REF!*100</f>
        <v>#REF!</v>
      </c>
    </row>
    <row r="83" spans="1:9" ht="19.5" customHeight="1">
      <c r="A83" s="1067" t="s">
        <v>643</v>
      </c>
      <c r="B83" s="1068" t="s">
        <v>715</v>
      </c>
      <c r="C83" s="1068"/>
      <c r="D83" s="1069" t="s">
        <v>636</v>
      </c>
      <c r="E83" s="215">
        <f>E82</f>
        <v>0</v>
      </c>
      <c r="I83" s="215" t="e">
        <f>#REF!/#REF!*100</f>
        <v>#REF!</v>
      </c>
    </row>
    <row r="84" spans="1:9" ht="19.5" customHeight="1">
      <c r="A84" s="1067" t="s">
        <v>644</v>
      </c>
      <c r="B84" s="1068"/>
      <c r="C84" s="1068"/>
      <c r="D84" s="1069"/>
      <c r="E84" s="215">
        <f>E81+E83</f>
        <v>2850177</v>
      </c>
      <c r="I84" s="215" t="e">
        <f>#REF!/#REF!*100</f>
        <v>#REF!</v>
      </c>
    </row>
    <row r="85" spans="1:9" s="213" customFormat="1" ht="16.5">
      <c r="A85" s="66"/>
      <c r="B85" s="34" t="s">
        <v>717</v>
      </c>
      <c r="C85" s="74"/>
      <c r="D85" s="35" t="s">
        <v>25</v>
      </c>
      <c r="E85" s="32">
        <f>E86</f>
        <v>0</v>
      </c>
      <c r="I85" s="32"/>
    </row>
    <row r="86" spans="1:9" s="52" customFormat="1" ht="15">
      <c r="A86" s="50"/>
      <c r="B86" s="158" t="s">
        <v>637</v>
      </c>
      <c r="C86" s="43"/>
      <c r="D86" s="44" t="s">
        <v>638</v>
      </c>
      <c r="E86" s="45"/>
      <c r="I86" s="45"/>
    </row>
    <row r="87" spans="1:9" s="213" customFormat="1" ht="16.5">
      <c r="A87" s="66"/>
      <c r="B87" s="34" t="s">
        <v>718</v>
      </c>
      <c r="C87" s="74"/>
      <c r="D87" s="35" t="s">
        <v>639</v>
      </c>
      <c r="E87" s="32">
        <f>E88</f>
        <v>0</v>
      </c>
      <c r="I87" s="32"/>
    </row>
    <row r="88" spans="1:9" s="52" customFormat="1" ht="15">
      <c r="A88" s="214"/>
      <c r="B88" s="158" t="s">
        <v>640</v>
      </c>
      <c r="C88" s="43"/>
      <c r="D88" s="44" t="s">
        <v>1098</v>
      </c>
      <c r="E88" s="45"/>
      <c r="I88" s="45"/>
    </row>
    <row r="89" spans="1:9" ht="19.5" customHeight="1">
      <c r="A89" s="1067" t="s">
        <v>645</v>
      </c>
      <c r="B89" s="1068"/>
      <c r="C89" s="1068"/>
      <c r="D89" s="1069"/>
      <c r="E89" s="215">
        <f>E85+E87</f>
        <v>0</v>
      </c>
      <c r="I89" s="215"/>
    </row>
    <row r="90" spans="1:9" ht="19.5" customHeight="1">
      <c r="A90" s="1073" t="s">
        <v>649</v>
      </c>
      <c r="B90" s="1074"/>
      <c r="C90" s="1074"/>
      <c r="D90" s="1075"/>
      <c r="E90" s="216">
        <f>E84+E89</f>
        <v>2850177</v>
      </c>
      <c r="F90" s="217"/>
      <c r="G90" s="217"/>
      <c r="H90" s="217"/>
      <c r="I90" s="216" t="e">
        <f>#REF!/#REF!*100</f>
        <v>#REF!</v>
      </c>
    </row>
    <row r="91" spans="1:9" s="223" customFormat="1" ht="19.5" customHeight="1">
      <c r="A91" s="218"/>
      <c r="B91" s="219"/>
      <c r="C91" s="219"/>
      <c r="D91" s="220"/>
      <c r="E91" s="221"/>
      <c r="F91" s="222"/>
      <c r="G91" s="222"/>
      <c r="H91" s="222"/>
      <c r="I91" s="221"/>
    </row>
    <row r="92" spans="1:9" ht="19.5" customHeight="1">
      <c r="A92" s="226" t="s">
        <v>646</v>
      </c>
      <c r="B92" s="227"/>
      <c r="C92" s="228"/>
      <c r="D92" s="229"/>
      <c r="E92" s="230"/>
      <c r="F92" s="217"/>
      <c r="G92" s="217"/>
      <c r="H92" s="217"/>
      <c r="I92" s="216"/>
    </row>
    <row r="93" spans="1:9" s="213" customFormat="1" ht="16.5">
      <c r="A93" s="224"/>
      <c r="B93" s="34" t="s">
        <v>20</v>
      </c>
      <c r="C93" s="74"/>
      <c r="D93" s="35" t="s">
        <v>366</v>
      </c>
      <c r="E93" s="32">
        <f>E94+E111</f>
        <v>353838</v>
      </c>
      <c r="I93" s="32" t="e">
        <f>#REF!/#REF!*100</f>
        <v>#REF!</v>
      </c>
    </row>
    <row r="94" spans="1:9" s="52" customFormat="1" ht="15">
      <c r="A94" s="50"/>
      <c r="B94" s="158" t="s">
        <v>144</v>
      </c>
      <c r="C94" s="43"/>
      <c r="D94" s="44" t="s">
        <v>1195</v>
      </c>
      <c r="E94" s="45">
        <f>SUM(E95:E96)</f>
        <v>350838</v>
      </c>
      <c r="I94" s="45" t="e">
        <f>#REF!/#REF!*100</f>
        <v>#REF!</v>
      </c>
    </row>
    <row r="95" spans="1:9" ht="15" customHeight="1">
      <c r="A95" s="14"/>
      <c r="B95" s="1118" t="s">
        <v>367</v>
      </c>
      <c r="C95" s="1119"/>
      <c r="D95" s="12" t="s">
        <v>181</v>
      </c>
      <c r="E95" s="13">
        <v>350838</v>
      </c>
      <c r="I95" s="13" t="e">
        <f>#REF!/#REF!*100</f>
        <v>#REF!</v>
      </c>
    </row>
    <row r="96" spans="1:9" ht="15" customHeight="1">
      <c r="A96" s="14"/>
      <c r="B96" s="1118" t="s">
        <v>502</v>
      </c>
      <c r="C96" s="1119" t="s">
        <v>201</v>
      </c>
      <c r="D96" s="12" t="s">
        <v>1196</v>
      </c>
      <c r="E96" s="13"/>
      <c r="I96" s="13" t="e">
        <f>#REF!/#REF!*100</f>
        <v>#REF!</v>
      </c>
    </row>
    <row r="97" spans="1:9" ht="15" customHeight="1" hidden="1">
      <c r="A97" s="14"/>
      <c r="B97" s="15"/>
      <c r="C97" s="79" t="s">
        <v>202</v>
      </c>
      <c r="D97" s="12" t="s">
        <v>203</v>
      </c>
      <c r="E97" s="13"/>
      <c r="G97">
        <v>500000</v>
      </c>
      <c r="I97" s="49" t="e">
        <f>#REF!/#REF!*100</f>
        <v>#REF!</v>
      </c>
    </row>
    <row r="98" spans="1:9" ht="15" customHeight="1" hidden="1">
      <c r="A98" s="14"/>
      <c r="B98" s="15"/>
      <c r="C98" s="206" t="s">
        <v>204</v>
      </c>
      <c r="D98" s="47" t="s">
        <v>205</v>
      </c>
      <c r="E98" s="48"/>
      <c r="F98" s="25"/>
      <c r="I98" s="169" t="e">
        <f>#REF!/#REF!*100</f>
        <v>#REF!</v>
      </c>
    </row>
    <row r="99" spans="1:9" ht="15" customHeight="1" hidden="1">
      <c r="A99" s="14"/>
      <c r="B99" s="15"/>
      <c r="C99" s="79" t="s">
        <v>206</v>
      </c>
      <c r="D99" s="12" t="s">
        <v>207</v>
      </c>
      <c r="E99" s="13"/>
      <c r="G99">
        <f>SUM(G97)*0.25</f>
        <v>125000</v>
      </c>
      <c r="I99" s="49" t="e">
        <f>#REF!/#REF!*100</f>
        <v>#REF!</v>
      </c>
    </row>
    <row r="100" spans="1:9" ht="15" customHeight="1" hidden="1">
      <c r="A100" s="14"/>
      <c r="B100" s="15"/>
      <c r="C100" s="79" t="s">
        <v>208</v>
      </c>
      <c r="D100" s="12" t="s">
        <v>209</v>
      </c>
      <c r="E100" s="13"/>
      <c r="G100">
        <v>49308</v>
      </c>
      <c r="I100" s="49" t="e">
        <f>#REF!/#REF!*100</f>
        <v>#REF!</v>
      </c>
    </row>
    <row r="101" spans="1:9" ht="15" customHeight="1" hidden="1">
      <c r="A101" s="14"/>
      <c r="B101" s="15"/>
      <c r="C101" s="79" t="s">
        <v>210</v>
      </c>
      <c r="D101" s="12" t="s">
        <v>211</v>
      </c>
      <c r="E101" s="13"/>
      <c r="G101">
        <f>SUM(G99:G100)</f>
        <v>174308</v>
      </c>
      <c r="I101" s="49" t="e">
        <f>#REF!/#REF!*100</f>
        <v>#REF!</v>
      </c>
    </row>
    <row r="102" spans="1:9" ht="15" customHeight="1" hidden="1">
      <c r="A102" s="14"/>
      <c r="B102" s="15"/>
      <c r="C102" s="79" t="s">
        <v>212</v>
      </c>
      <c r="D102" s="12" t="s">
        <v>213</v>
      </c>
      <c r="E102" s="13"/>
      <c r="I102" s="49" t="e">
        <f>#REF!/#REF!*100</f>
        <v>#REF!</v>
      </c>
    </row>
    <row r="103" spans="1:9" ht="15" customHeight="1" hidden="1">
      <c r="A103" s="14"/>
      <c r="B103" s="15"/>
      <c r="C103" s="79" t="s">
        <v>214</v>
      </c>
      <c r="D103" s="12" t="s">
        <v>215</v>
      </c>
      <c r="E103" s="13"/>
      <c r="I103" s="49" t="e">
        <f>#REF!/#REF!*100</f>
        <v>#REF!</v>
      </c>
    </row>
    <row r="104" spans="1:9" ht="15" customHeight="1" hidden="1">
      <c r="A104" s="14"/>
      <c r="B104" s="15"/>
      <c r="C104" s="206" t="s">
        <v>216</v>
      </c>
      <c r="D104" s="47" t="s">
        <v>217</v>
      </c>
      <c r="E104" s="48"/>
      <c r="I104" s="169" t="e">
        <f>#REF!/#REF!*100</f>
        <v>#REF!</v>
      </c>
    </row>
    <row r="105" spans="1:9" ht="15" customHeight="1" hidden="1">
      <c r="A105" s="14"/>
      <c r="B105" s="15"/>
      <c r="C105" s="206" t="s">
        <v>218</v>
      </c>
      <c r="D105" s="47" t="s">
        <v>219</v>
      </c>
      <c r="E105" s="58"/>
      <c r="I105" s="170" t="e">
        <f>#REF!/#REF!*100</f>
        <v>#REF!</v>
      </c>
    </row>
    <row r="106" spans="1:9" ht="15" customHeight="1" hidden="1">
      <c r="A106" s="14"/>
      <c r="B106" s="15"/>
      <c r="C106" s="206" t="s">
        <v>220</v>
      </c>
      <c r="D106" s="47" t="s">
        <v>221</v>
      </c>
      <c r="E106" s="48"/>
      <c r="I106" s="169" t="e">
        <f>#REF!/#REF!*100</f>
        <v>#REF!</v>
      </c>
    </row>
    <row r="107" spans="1:9" ht="15" customHeight="1" hidden="1">
      <c r="A107" s="14"/>
      <c r="B107" s="15"/>
      <c r="C107" s="206" t="s">
        <v>222</v>
      </c>
      <c r="D107" s="47" t="s">
        <v>223</v>
      </c>
      <c r="E107" s="48"/>
      <c r="I107" s="169" t="e">
        <f>#REF!/#REF!*100</f>
        <v>#REF!</v>
      </c>
    </row>
    <row r="108" spans="1:9" ht="15" customHeight="1" hidden="1">
      <c r="A108" s="14"/>
      <c r="B108" s="15"/>
      <c r="C108" s="206" t="s">
        <v>224</v>
      </c>
      <c r="D108" s="47" t="s">
        <v>225</v>
      </c>
      <c r="E108" s="48"/>
      <c r="I108" s="169" t="e">
        <f>#REF!/#REF!*100</f>
        <v>#REF!</v>
      </c>
    </row>
    <row r="109" spans="1:9" ht="15" customHeight="1" hidden="1">
      <c r="A109" s="14"/>
      <c r="B109" s="15"/>
      <c r="C109" s="206" t="s">
        <v>226</v>
      </c>
      <c r="D109" s="47" t="s">
        <v>227</v>
      </c>
      <c r="E109" s="48"/>
      <c r="I109" s="48" t="e">
        <f>#REF!/#REF!*100</f>
        <v>#REF!</v>
      </c>
    </row>
    <row r="110" spans="1:9" ht="15" customHeight="1" hidden="1">
      <c r="A110" s="14"/>
      <c r="B110" s="15"/>
      <c r="C110" s="79" t="s">
        <v>228</v>
      </c>
      <c r="D110" s="12" t="s">
        <v>229</v>
      </c>
      <c r="E110" s="13"/>
      <c r="I110" s="13" t="e">
        <f>#REF!/#REF!*100</f>
        <v>#REF!</v>
      </c>
    </row>
    <row r="111" spans="1:9" s="52" customFormat="1" ht="15">
      <c r="A111" s="50"/>
      <c r="B111" s="158" t="s">
        <v>186</v>
      </c>
      <c r="C111" s="43"/>
      <c r="D111" s="44" t="s">
        <v>364</v>
      </c>
      <c r="E111" s="45">
        <f>E112</f>
        <v>3000</v>
      </c>
      <c r="I111" s="45"/>
    </row>
    <row r="112" spans="1:9" ht="15" customHeight="1">
      <c r="A112" s="14"/>
      <c r="B112" s="1118" t="s">
        <v>368</v>
      </c>
      <c r="C112" s="1119"/>
      <c r="D112" s="12" t="s">
        <v>365</v>
      </c>
      <c r="E112" s="13">
        <v>3000</v>
      </c>
      <c r="I112" s="13"/>
    </row>
    <row r="113" spans="1:9" s="213" customFormat="1" ht="16.5">
      <c r="A113" s="224"/>
      <c r="B113" s="34" t="s">
        <v>44</v>
      </c>
      <c r="C113" s="74"/>
      <c r="D113" s="35" t="s">
        <v>619</v>
      </c>
      <c r="E113" s="32"/>
      <c r="I113" s="32" t="e">
        <f>#REF!/#REF!*100</f>
        <v>#REF!</v>
      </c>
    </row>
    <row r="114" spans="1:9" s="52" customFormat="1" ht="15">
      <c r="A114" s="50"/>
      <c r="B114" s="158" t="s">
        <v>188</v>
      </c>
      <c r="C114" s="43"/>
      <c r="D114" s="44" t="s">
        <v>369</v>
      </c>
      <c r="E114" s="45"/>
      <c r="I114" s="45" t="e">
        <f>#REF!/#REF!*100</f>
        <v>#REF!</v>
      </c>
    </row>
    <row r="115" spans="1:9" s="213" customFormat="1" ht="16.5">
      <c r="A115" s="224"/>
      <c r="B115" s="34" t="s">
        <v>45</v>
      </c>
      <c r="C115" s="74"/>
      <c r="D115" s="35" t="s">
        <v>370</v>
      </c>
      <c r="E115" s="32">
        <f>SUM(E116)</f>
        <v>1000</v>
      </c>
      <c r="I115" s="32" t="e">
        <f>#REF!/#REF!*100</f>
        <v>#REF!</v>
      </c>
    </row>
    <row r="116" spans="1:9" ht="15" customHeight="1">
      <c r="A116" s="50"/>
      <c r="B116" s="158" t="s">
        <v>254</v>
      </c>
      <c r="C116" s="43"/>
      <c r="D116" s="44" t="s">
        <v>371</v>
      </c>
      <c r="E116" s="45">
        <f>SUM(E117:E118)</f>
        <v>1000</v>
      </c>
      <c r="I116" s="18" t="e">
        <f>#REF!/#REF!*100</f>
        <v>#REF!</v>
      </c>
    </row>
    <row r="117" spans="1:9" ht="15" customHeight="1">
      <c r="A117" s="9"/>
      <c r="B117" s="459" t="s">
        <v>372</v>
      </c>
      <c r="C117" s="460"/>
      <c r="D117" s="12" t="s">
        <v>185</v>
      </c>
      <c r="E117" s="13">
        <v>1000</v>
      </c>
      <c r="I117" s="13" t="e">
        <f>#REF!/#REF!*100</f>
        <v>#REF!</v>
      </c>
    </row>
    <row r="118" spans="1:9" ht="15" customHeight="1">
      <c r="A118" s="14"/>
      <c r="B118" s="1118" t="s">
        <v>373</v>
      </c>
      <c r="C118" s="1119"/>
      <c r="D118" s="12" t="s">
        <v>1197</v>
      </c>
      <c r="E118" s="13"/>
      <c r="I118" s="13" t="e">
        <f>#REF!/#REF!*100</f>
        <v>#REF!</v>
      </c>
    </row>
    <row r="119" spans="1:9" ht="15" customHeight="1">
      <c r="A119" s="14"/>
      <c r="B119" s="1118" t="s">
        <v>1096</v>
      </c>
      <c r="C119" s="1119"/>
      <c r="D119" s="12" t="s">
        <v>1097</v>
      </c>
      <c r="E119" s="13"/>
      <c r="I119" s="13" t="e">
        <f>#REF!/#REF!*100</f>
        <v>#REF!</v>
      </c>
    </row>
    <row r="120" spans="1:9" ht="15" customHeight="1">
      <c r="A120" s="50"/>
      <c r="B120" s="34" t="s">
        <v>49</v>
      </c>
      <c r="C120" s="74"/>
      <c r="D120" s="35" t="s">
        <v>1184</v>
      </c>
      <c r="E120" s="32">
        <f>SUM(E121)</f>
        <v>3000</v>
      </c>
      <c r="I120" s="13" t="e">
        <f>#REF!/#REF!*100</f>
        <v>#REF!</v>
      </c>
    </row>
    <row r="121" spans="1:9" ht="15" customHeight="1">
      <c r="A121" s="14"/>
      <c r="B121" s="158" t="s">
        <v>255</v>
      </c>
      <c r="C121" s="43"/>
      <c r="D121" s="44" t="s">
        <v>1198</v>
      </c>
      <c r="E121" s="45">
        <v>3000</v>
      </c>
      <c r="I121" s="13" t="e">
        <f>#REF!/#REF!*100</f>
        <v>#REF!</v>
      </c>
    </row>
    <row r="122" spans="1:9" s="213" customFormat="1" ht="16.5" hidden="1">
      <c r="A122" s="224"/>
      <c r="B122" s="34" t="s">
        <v>49</v>
      </c>
      <c r="C122" s="74"/>
      <c r="D122" s="35" t="s">
        <v>1184</v>
      </c>
      <c r="E122" s="32"/>
      <c r="I122" s="32" t="e">
        <f>#REF!/#REF!*100</f>
        <v>#REF!</v>
      </c>
    </row>
    <row r="123" spans="1:9" s="52" customFormat="1" ht="15" hidden="1">
      <c r="A123" s="50"/>
      <c r="B123" s="158" t="s">
        <v>255</v>
      </c>
      <c r="C123" s="43"/>
      <c r="D123" s="44" t="s">
        <v>1198</v>
      </c>
      <c r="E123" s="45"/>
      <c r="I123" s="45" t="e">
        <f>#REF!/#REF!*100</f>
        <v>#REF!</v>
      </c>
    </row>
    <row r="124" spans="1:9" ht="19.5" customHeight="1">
      <c r="A124" s="1067" t="s">
        <v>1185</v>
      </c>
      <c r="B124" s="1068"/>
      <c r="C124" s="1068"/>
      <c r="D124" s="1069" t="s">
        <v>27</v>
      </c>
      <c r="E124" s="215">
        <f>E93+E113+E115+E122+E120</f>
        <v>357838</v>
      </c>
      <c r="I124" s="215" t="e">
        <f>#REF!/#REF!*100</f>
        <v>#REF!</v>
      </c>
    </row>
    <row r="125" spans="1:9" s="213" customFormat="1" ht="33">
      <c r="A125" s="66"/>
      <c r="B125" s="1027" t="s">
        <v>50</v>
      </c>
      <c r="C125" s="74"/>
      <c r="D125" s="1026" t="s">
        <v>568</v>
      </c>
      <c r="E125" s="32">
        <v>100000</v>
      </c>
      <c r="I125" s="32"/>
    </row>
    <row r="126" spans="1:9" ht="19.5" customHeight="1">
      <c r="A126" s="1067" t="s">
        <v>395</v>
      </c>
      <c r="B126" s="1068" t="s">
        <v>715</v>
      </c>
      <c r="C126" s="1068"/>
      <c r="D126" s="1069" t="s">
        <v>636</v>
      </c>
      <c r="E126" s="215">
        <f>SUM(E125)</f>
        <v>100000</v>
      </c>
      <c r="I126" s="215"/>
    </row>
    <row r="127" spans="1:9" ht="19.5" customHeight="1">
      <c r="A127" s="1067" t="s">
        <v>396</v>
      </c>
      <c r="B127" s="1068"/>
      <c r="C127" s="1068"/>
      <c r="D127" s="1069"/>
      <c r="E127" s="215">
        <f>E124+E126</f>
        <v>457838</v>
      </c>
      <c r="I127" s="215" t="e">
        <f>#REF!/#REF!*100</f>
        <v>#REF!</v>
      </c>
    </row>
    <row r="128" spans="1:9" s="213" customFormat="1" ht="16.5">
      <c r="A128" s="66"/>
      <c r="B128" s="34" t="s">
        <v>308</v>
      </c>
      <c r="C128" s="74"/>
      <c r="D128" s="35" t="s">
        <v>398</v>
      </c>
      <c r="E128" s="32">
        <f>E129+E130</f>
        <v>200000</v>
      </c>
      <c r="I128" s="32" t="e">
        <f>#REF!/#REF!*100</f>
        <v>#REF!</v>
      </c>
    </row>
    <row r="129" spans="1:9" s="52" customFormat="1" ht="15">
      <c r="A129" s="50"/>
      <c r="B129" s="158" t="s">
        <v>700</v>
      </c>
      <c r="C129" s="43"/>
      <c r="D129" s="44" t="s">
        <v>79</v>
      </c>
      <c r="E129" s="45">
        <v>200000</v>
      </c>
      <c r="I129" s="45"/>
    </row>
    <row r="130" spans="1:9" s="52" customFormat="1" ht="15">
      <c r="A130" s="50"/>
      <c r="B130" s="158" t="s">
        <v>399</v>
      </c>
      <c r="C130" s="43"/>
      <c r="D130" s="44" t="s">
        <v>400</v>
      </c>
      <c r="E130" s="45"/>
      <c r="I130" s="45"/>
    </row>
    <row r="131" spans="1:9" ht="19.5" customHeight="1">
      <c r="A131" s="1067" t="s">
        <v>401</v>
      </c>
      <c r="B131" s="1068"/>
      <c r="C131" s="1068"/>
      <c r="D131" s="1069"/>
      <c r="E131" s="215">
        <f>E128</f>
        <v>200000</v>
      </c>
      <c r="I131" s="215" t="e">
        <f>#REF!/#REF!*100</f>
        <v>#REF!</v>
      </c>
    </row>
    <row r="132" spans="1:9" ht="19.5" customHeight="1">
      <c r="A132" s="1073" t="s">
        <v>402</v>
      </c>
      <c r="B132" s="1074"/>
      <c r="C132" s="1074"/>
      <c r="D132" s="1075"/>
      <c r="E132" s="216">
        <f>E131+E127</f>
        <v>657838</v>
      </c>
      <c r="F132" s="217"/>
      <c r="G132" s="217"/>
      <c r="H132" s="217"/>
      <c r="I132" s="216" t="e">
        <f>#REF!/#REF!*100</f>
        <v>#REF!</v>
      </c>
    </row>
    <row r="133" spans="1:8" s="213" customFormat="1" ht="16.5">
      <c r="A133" s="224"/>
      <c r="B133" s="34"/>
      <c r="C133" s="74"/>
      <c r="D133" s="35" t="s">
        <v>541</v>
      </c>
      <c r="E133" s="32"/>
      <c r="H133" s="32"/>
    </row>
    <row r="134" spans="1:9" ht="21.75" customHeight="1">
      <c r="A134" s="36" t="s">
        <v>1199</v>
      </c>
      <c r="B134" s="37"/>
      <c r="C134" s="38"/>
      <c r="D134" s="39"/>
      <c r="E134" s="40">
        <f>E132+E90</f>
        <v>3508015</v>
      </c>
      <c r="G134">
        <v>2111281</v>
      </c>
      <c r="H134">
        <v>1334148</v>
      </c>
      <c r="I134" s="40" t="e">
        <f>#REF!/#REF!*100</f>
        <v>#REF!</v>
      </c>
    </row>
    <row r="135" spans="1:5" ht="22.5" customHeight="1">
      <c r="A135" s="451" t="s">
        <v>1385</v>
      </c>
      <c r="B135" s="452"/>
      <c r="C135" s="452"/>
      <c r="D135" s="453"/>
      <c r="E135" s="454">
        <f>-'3c.szmelléklet'!J404</f>
        <v>-1119342</v>
      </c>
    </row>
    <row r="136" spans="1:9" s="213" customFormat="1" ht="30" customHeight="1">
      <c r="A136" s="450" t="s">
        <v>1386</v>
      </c>
      <c r="B136" s="446"/>
      <c r="C136" s="447"/>
      <c r="D136" s="448"/>
      <c r="E136" s="449">
        <f>SUM(E134+E135)</f>
        <v>2388673</v>
      </c>
      <c r="I136" s="32"/>
    </row>
    <row r="139" ht="12.75">
      <c r="G139" s="25"/>
    </row>
  </sheetData>
  <sheetProtection/>
  <mergeCells count="52">
    <mergeCell ref="A81:D81"/>
    <mergeCell ref="B63:C63"/>
    <mergeCell ref="B65:C65"/>
    <mergeCell ref="B34:C34"/>
    <mergeCell ref="B30:C30"/>
    <mergeCell ref="B57:C57"/>
    <mergeCell ref="B56:C56"/>
    <mergeCell ref="B40:C40"/>
    <mergeCell ref="B49:C49"/>
    <mergeCell ref="B52:C52"/>
    <mergeCell ref="A1:C1"/>
    <mergeCell ref="A3:D3"/>
    <mergeCell ref="B23:C23"/>
    <mergeCell ref="B38:C38"/>
    <mergeCell ref="B22:C22"/>
    <mergeCell ref="B33:C33"/>
    <mergeCell ref="B37:C37"/>
    <mergeCell ref="B35:C35"/>
    <mergeCell ref="B6:C6"/>
    <mergeCell ref="B8:C8"/>
    <mergeCell ref="B119:C119"/>
    <mergeCell ref="A89:D89"/>
    <mergeCell ref="B64:C64"/>
    <mergeCell ref="B50:C50"/>
    <mergeCell ref="B61:C61"/>
    <mergeCell ref="B53:C53"/>
    <mergeCell ref="B118:C118"/>
    <mergeCell ref="B55:C55"/>
    <mergeCell ref="A83:D83"/>
    <mergeCell ref="A84:D84"/>
    <mergeCell ref="A90:D90"/>
    <mergeCell ref="B112:C112"/>
    <mergeCell ref="B96:C96"/>
    <mergeCell ref="B95:C95"/>
    <mergeCell ref="B9:C9"/>
    <mergeCell ref="B10:C10"/>
    <mergeCell ref="B31:C31"/>
    <mergeCell ref="B14:C14"/>
    <mergeCell ref="B11:C11"/>
    <mergeCell ref="B51:C51"/>
    <mergeCell ref="B39:C39"/>
    <mergeCell ref="B32:C32"/>
    <mergeCell ref="B12:C12"/>
    <mergeCell ref="B13:C13"/>
    <mergeCell ref="B18:C18"/>
    <mergeCell ref="B17:C17"/>
    <mergeCell ref="B20:C20"/>
    <mergeCell ref="A132:D132"/>
    <mergeCell ref="A124:D124"/>
    <mergeCell ref="A126:D126"/>
    <mergeCell ref="A127:D127"/>
    <mergeCell ref="A131:D131"/>
  </mergeCells>
  <printOptions horizontalCentered="1"/>
  <pageMargins left="0.1968503937007874" right="0.1968503937007874" top="1.1811023622047245" bottom="0.5905511811023623" header="0.35" footer="0.11811023622047245"/>
  <pageSetup firstPageNumber="39" useFirstPageNumber="1" horizontalDpi="600" verticalDpi="600" orientation="portrait" paperSize="9" r:id="rId1"/>
  <headerFooter alignWithMargins="0">
    <oddHeader>&amp;C&amp;"Times New Roman,Félkövér"&amp;14
Vecsés Város Önkormányzat Polgármesteri Hivatalának 
2011. évi bevételei forrásonként&amp;R3/a. sz. melléklet
ezer Ft</oddHeader>
    <oddFooter>&amp;C- &amp;P -</oddFooter>
  </headerFooter>
  <rowBreaks count="2" manualBreakCount="2">
    <brk id="45" max="9" man="1"/>
    <brk id="91" max="12" man="1"/>
  </rowBreaks>
  <colBreaks count="1" manualBreakCount="1">
    <brk id="5" max="1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05"/>
  <sheetViews>
    <sheetView view="pageBreakPreview" zoomScale="120" zoomScaleSheetLayoutView="120" zoomScalePageLayoutView="0" workbookViewId="0" topLeftCell="A171">
      <selection activeCell="E204" sqref="E204"/>
    </sheetView>
  </sheetViews>
  <sheetFormatPr defaultColWidth="9.140625" defaultRowHeight="12.75"/>
  <cols>
    <col min="1" max="1" width="2.140625" style="0" customWidth="1"/>
    <col min="2" max="2" width="2.57421875" style="24" customWidth="1"/>
    <col min="3" max="3" width="8.8515625" style="24" customWidth="1"/>
    <col min="4" max="4" width="52.421875" style="0" customWidth="1"/>
    <col min="5" max="5" width="11.57421875" style="0" customWidth="1"/>
    <col min="6" max="7" width="0" style="0" hidden="1" customWidth="1"/>
    <col min="8" max="8" width="0" style="25" hidden="1" customWidth="1"/>
    <col min="9" max="10" width="0" style="0" hidden="1" customWidth="1"/>
    <col min="13" max="13" width="13.57421875" style="0" customWidth="1"/>
    <col min="14" max="14" width="17.421875" style="0" customWidth="1"/>
    <col min="15" max="15" width="9.00390625" style="0" customWidth="1"/>
  </cols>
  <sheetData>
    <row r="1" spans="1:5" ht="48" customHeight="1">
      <c r="A1" s="1076" t="s">
        <v>9</v>
      </c>
      <c r="B1" s="1076"/>
      <c r="C1" s="1076"/>
      <c r="D1" s="1" t="s">
        <v>10</v>
      </c>
      <c r="E1" s="204" t="s">
        <v>1133</v>
      </c>
    </row>
    <row r="2" spans="1:9" ht="20.25">
      <c r="A2" s="1123" t="s">
        <v>512</v>
      </c>
      <c r="B2" s="1124"/>
      <c r="C2" s="1124"/>
      <c r="D2" s="1124"/>
      <c r="E2" s="1185"/>
      <c r="G2" t="s">
        <v>346</v>
      </c>
      <c r="H2">
        <v>1056970</v>
      </c>
      <c r="I2">
        <v>836960</v>
      </c>
    </row>
    <row r="3" spans="1:8" ht="19.5" customHeight="1">
      <c r="A3" s="1073" t="s">
        <v>498</v>
      </c>
      <c r="B3" s="1074"/>
      <c r="C3" s="1074"/>
      <c r="D3" s="1075"/>
      <c r="E3" s="216"/>
      <c r="F3" s="217" t="e">
        <f>#REF!+#REF!</f>
        <v>#REF!</v>
      </c>
      <c r="G3" s="217" t="e">
        <f>#REF!+#REF!</f>
        <v>#REF!</v>
      </c>
      <c r="H3" s="217" t="e">
        <f>#REF!+#REF!</f>
        <v>#REF!</v>
      </c>
    </row>
    <row r="4" spans="1:9" ht="15">
      <c r="A4" s="4"/>
      <c r="B4" s="20" t="s">
        <v>16</v>
      </c>
      <c r="C4" s="21"/>
      <c r="D4" s="22" t="s">
        <v>251</v>
      </c>
      <c r="E4" s="23">
        <f>SUM(E5:E6)</f>
        <v>402707</v>
      </c>
      <c r="G4" t="s">
        <v>347</v>
      </c>
      <c r="H4" s="25" t="e">
        <f>SUM(#REF!,#REF!,#REF!,#REF!,#REF!)</f>
        <v>#REF!</v>
      </c>
      <c r="I4" s="25" t="e">
        <f>SUM(#REF!,#REF!,#REF!,#REF!,#REF!)</f>
        <v>#REF!</v>
      </c>
    </row>
    <row r="5" spans="1:9" s="161" customFormat="1" ht="15">
      <c r="A5" s="4"/>
      <c r="B5" s="5"/>
      <c r="C5" s="6" t="s">
        <v>54</v>
      </c>
      <c r="D5" s="7" t="s">
        <v>172</v>
      </c>
      <c r="E5" s="8">
        <v>377997</v>
      </c>
      <c r="H5" s="162"/>
      <c r="I5" s="162"/>
    </row>
    <row r="6" spans="1:9" ht="15">
      <c r="A6" s="4"/>
      <c r="B6" s="5"/>
      <c r="C6" s="6" t="s">
        <v>55</v>
      </c>
      <c r="D6" s="7" t="s">
        <v>173</v>
      </c>
      <c r="E6" s="8">
        <v>24710</v>
      </c>
      <c r="G6" t="s">
        <v>348</v>
      </c>
      <c r="H6" s="25">
        <v>40898</v>
      </c>
      <c r="I6" s="25">
        <v>26196</v>
      </c>
    </row>
    <row r="7" spans="1:10" ht="15">
      <c r="A7" s="9"/>
      <c r="B7" s="15" t="s">
        <v>17</v>
      </c>
      <c r="C7" s="16"/>
      <c r="D7" s="17" t="s">
        <v>35</v>
      </c>
      <c r="E7" s="18">
        <f>E8+E11+E9</f>
        <v>104556</v>
      </c>
      <c r="G7" t="s">
        <v>349</v>
      </c>
      <c r="H7" s="25">
        <v>4000</v>
      </c>
      <c r="I7" s="25"/>
      <c r="J7" t="s">
        <v>350</v>
      </c>
    </row>
    <row r="8" spans="1:9" s="52" customFormat="1" ht="15">
      <c r="A8" s="50"/>
      <c r="B8" s="158"/>
      <c r="C8" s="6" t="s">
        <v>65</v>
      </c>
      <c r="D8" s="7" t="s">
        <v>345</v>
      </c>
      <c r="E8" s="8">
        <v>93284</v>
      </c>
      <c r="H8" s="159"/>
      <c r="I8" s="159"/>
    </row>
    <row r="9" spans="1:9" s="161" customFormat="1" ht="15">
      <c r="A9" s="9"/>
      <c r="B9" s="10"/>
      <c r="C9" s="6" t="s">
        <v>182</v>
      </c>
      <c r="D9" s="7" t="s">
        <v>173</v>
      </c>
      <c r="E9" s="13">
        <v>6672</v>
      </c>
      <c r="G9" s="161" t="s">
        <v>1435</v>
      </c>
      <c r="H9" s="162"/>
      <c r="I9" s="162"/>
    </row>
    <row r="10" spans="1:9" s="161" customFormat="1" ht="15" hidden="1">
      <c r="A10" s="9"/>
      <c r="B10" s="10"/>
      <c r="C10" s="11" t="s">
        <v>182</v>
      </c>
      <c r="D10" s="7" t="s">
        <v>1456</v>
      </c>
      <c r="E10" s="13"/>
      <c r="H10" s="162"/>
      <c r="I10" s="162"/>
    </row>
    <row r="11" spans="1:9" s="52" customFormat="1" ht="15">
      <c r="A11" s="50"/>
      <c r="B11" s="158"/>
      <c r="C11" s="6" t="s">
        <v>183</v>
      </c>
      <c r="D11" s="7" t="s">
        <v>499</v>
      </c>
      <c r="E11" s="13">
        <f>E12</f>
        <v>4600</v>
      </c>
      <c r="H11" s="159"/>
      <c r="I11" s="159"/>
    </row>
    <row r="12" spans="1:5" ht="15">
      <c r="A12" s="9"/>
      <c r="B12" s="15"/>
      <c r="C12" s="46" t="s">
        <v>175</v>
      </c>
      <c r="D12" s="436" t="s">
        <v>359</v>
      </c>
      <c r="E12" s="48">
        <v>4600</v>
      </c>
    </row>
    <row r="13" spans="1:9" ht="15">
      <c r="A13" s="9"/>
      <c r="B13" s="15" t="s">
        <v>36</v>
      </c>
      <c r="C13" s="16"/>
      <c r="D13" s="17" t="s">
        <v>552</v>
      </c>
      <c r="E13" s="18">
        <f>E14+E34</f>
        <v>249503</v>
      </c>
      <c r="G13" t="s">
        <v>351</v>
      </c>
      <c r="I13" s="25">
        <v>30062</v>
      </c>
    </row>
    <row r="14" spans="1:9" s="52" customFormat="1" ht="15">
      <c r="A14" s="50"/>
      <c r="B14" s="158"/>
      <c r="C14" s="43" t="s">
        <v>71</v>
      </c>
      <c r="D14" s="44" t="s">
        <v>345</v>
      </c>
      <c r="E14" s="45">
        <f>E15+E17+E18+E23+E24+E27+E28+E29+E30+E31+E32+E19+E16+E33+E20+E21+E22</f>
        <v>249303</v>
      </c>
      <c r="H14" s="159"/>
      <c r="I14" s="159"/>
    </row>
    <row r="15" spans="1:9" ht="15">
      <c r="A15" s="9"/>
      <c r="B15" s="15"/>
      <c r="C15" s="11" t="s">
        <v>500</v>
      </c>
      <c r="D15" s="12" t="s">
        <v>552</v>
      </c>
      <c r="E15" s="13">
        <v>128250</v>
      </c>
      <c r="I15" s="25"/>
    </row>
    <row r="16" spans="1:9" ht="15">
      <c r="A16" s="9"/>
      <c r="B16" s="15"/>
      <c r="C16" s="11" t="s">
        <v>1480</v>
      </c>
      <c r="D16" s="12" t="s">
        <v>174</v>
      </c>
      <c r="E16" s="13">
        <v>7201</v>
      </c>
      <c r="I16" s="25"/>
    </row>
    <row r="17" spans="1:9" ht="15">
      <c r="A17" s="9"/>
      <c r="B17" s="15"/>
      <c r="C17" s="11" t="s">
        <v>1481</v>
      </c>
      <c r="D17" s="12" t="s">
        <v>1200</v>
      </c>
      <c r="E17" s="13">
        <v>40000</v>
      </c>
      <c r="I17" s="25"/>
    </row>
    <row r="18" spans="1:9" ht="15">
      <c r="A18" s="9"/>
      <c r="B18" s="15"/>
      <c r="C18" s="11" t="s">
        <v>1482</v>
      </c>
      <c r="D18" s="12" t="s">
        <v>497</v>
      </c>
      <c r="E18" s="13"/>
      <c r="I18" s="25"/>
    </row>
    <row r="19" spans="1:9" ht="15">
      <c r="A19" s="9"/>
      <c r="B19" s="15"/>
      <c r="C19" s="11" t="s">
        <v>1483</v>
      </c>
      <c r="D19" s="12" t="s">
        <v>1081</v>
      </c>
      <c r="E19" s="13">
        <v>15000</v>
      </c>
      <c r="I19" s="25"/>
    </row>
    <row r="20" spans="1:9" ht="15">
      <c r="A20" s="9"/>
      <c r="B20" s="15"/>
      <c r="C20" s="11" t="s">
        <v>1484</v>
      </c>
      <c r="D20" s="130" t="s">
        <v>685</v>
      </c>
      <c r="E20" s="95">
        <v>2700</v>
      </c>
      <c r="I20" s="25"/>
    </row>
    <row r="21" spans="1:9" ht="15">
      <c r="A21" s="9"/>
      <c r="B21" s="15"/>
      <c r="C21" s="11" t="s">
        <v>1485</v>
      </c>
      <c r="D21" s="130" t="s">
        <v>1206</v>
      </c>
      <c r="E21" s="95">
        <v>600</v>
      </c>
      <c r="I21" s="25"/>
    </row>
    <row r="22" spans="1:9" ht="15">
      <c r="A22" s="9"/>
      <c r="B22" s="15"/>
      <c r="C22" s="11" t="s">
        <v>1486</v>
      </c>
      <c r="D22" s="130" t="s">
        <v>1410</v>
      </c>
      <c r="E22" s="95">
        <v>2800</v>
      </c>
      <c r="I22" s="25"/>
    </row>
    <row r="23" spans="1:5" ht="15" customHeight="1">
      <c r="A23" s="14"/>
      <c r="B23" s="15"/>
      <c r="C23" s="11" t="s">
        <v>1487</v>
      </c>
      <c r="D23" s="12" t="s">
        <v>1454</v>
      </c>
      <c r="E23" s="13">
        <v>66</v>
      </c>
    </row>
    <row r="24" spans="1:5" ht="15" customHeight="1">
      <c r="A24" s="14"/>
      <c r="B24" s="15"/>
      <c r="C24" s="11" t="s">
        <v>562</v>
      </c>
      <c r="D24" s="12" t="s">
        <v>709</v>
      </c>
      <c r="E24" s="13">
        <f>SUM(E25:E26)</f>
        <v>196</v>
      </c>
    </row>
    <row r="25" spans="1:5" ht="15" customHeight="1">
      <c r="A25" s="14"/>
      <c r="B25" s="15"/>
      <c r="C25" s="79" t="s">
        <v>1494</v>
      </c>
      <c r="D25" s="305" t="s">
        <v>1171</v>
      </c>
      <c r="E25" s="13">
        <v>0</v>
      </c>
    </row>
    <row r="26" spans="1:5" ht="15" customHeight="1">
      <c r="A26" s="14"/>
      <c r="B26" s="15"/>
      <c r="C26" s="79" t="s">
        <v>1495</v>
      </c>
      <c r="D26" s="305" t="s">
        <v>1172</v>
      </c>
      <c r="E26" s="13">
        <v>196</v>
      </c>
    </row>
    <row r="27" spans="1:5" ht="15" customHeight="1">
      <c r="A27" s="14"/>
      <c r="B27" s="15"/>
      <c r="C27" s="11" t="s">
        <v>899</v>
      </c>
      <c r="D27" s="12" t="s">
        <v>236</v>
      </c>
      <c r="E27" s="13">
        <v>14000</v>
      </c>
    </row>
    <row r="28" spans="1:5" ht="15" customHeight="1">
      <c r="A28" s="14"/>
      <c r="B28" s="15"/>
      <c r="C28" s="11" t="s">
        <v>1488</v>
      </c>
      <c r="D28" s="12" t="s">
        <v>1173</v>
      </c>
      <c r="E28" s="13">
        <v>12000</v>
      </c>
    </row>
    <row r="29" spans="1:5" ht="15" customHeight="1">
      <c r="A29" s="14"/>
      <c r="B29" s="15"/>
      <c r="C29" s="11" t="s">
        <v>1489</v>
      </c>
      <c r="D29" s="12" t="s">
        <v>536</v>
      </c>
      <c r="E29" s="13"/>
    </row>
    <row r="30" spans="1:5" ht="28.5" customHeight="1">
      <c r="A30" s="14"/>
      <c r="B30" s="15"/>
      <c r="C30" s="11" t="s">
        <v>1490</v>
      </c>
      <c r="D30" s="252" t="s">
        <v>1079</v>
      </c>
      <c r="E30" s="13">
        <v>5029</v>
      </c>
    </row>
    <row r="31" spans="1:5" ht="28.5" customHeight="1">
      <c r="A31" s="14"/>
      <c r="B31" s="15"/>
      <c r="C31" s="11" t="s">
        <v>1491</v>
      </c>
      <c r="D31" s="252" t="s">
        <v>1080</v>
      </c>
      <c r="E31" s="13">
        <v>11682</v>
      </c>
    </row>
    <row r="32" spans="1:5" ht="15" customHeight="1">
      <c r="A32" s="14"/>
      <c r="B32" s="15"/>
      <c r="C32" s="11" t="s">
        <v>1492</v>
      </c>
      <c r="D32" s="252" t="s">
        <v>563</v>
      </c>
      <c r="E32" s="13">
        <v>2650</v>
      </c>
    </row>
    <row r="33" spans="1:5" ht="15" customHeight="1">
      <c r="A33" s="14"/>
      <c r="B33" s="15"/>
      <c r="C33" s="11" t="s">
        <v>1493</v>
      </c>
      <c r="D33" s="252" t="s">
        <v>900</v>
      </c>
      <c r="E33" s="13">
        <v>7129</v>
      </c>
    </row>
    <row r="34" spans="1:9" s="52" customFormat="1" ht="14.25" customHeight="1">
      <c r="A34" s="50"/>
      <c r="B34" s="158"/>
      <c r="C34" s="43" t="s">
        <v>1406</v>
      </c>
      <c r="D34" s="44" t="s">
        <v>1201</v>
      </c>
      <c r="E34" s="45">
        <f>E35</f>
        <v>200</v>
      </c>
      <c r="H34" s="159"/>
      <c r="I34" s="159"/>
    </row>
    <row r="35" spans="1:5" ht="15">
      <c r="A35" s="9"/>
      <c r="B35" s="15"/>
      <c r="C35" s="11" t="s">
        <v>126</v>
      </c>
      <c r="D35" s="114" t="s">
        <v>1202</v>
      </c>
      <c r="E35" s="13">
        <v>200</v>
      </c>
    </row>
    <row r="36" spans="1:9" s="115" customFormat="1" ht="14.25">
      <c r="A36" s="14"/>
      <c r="B36" s="15" t="s">
        <v>37</v>
      </c>
      <c r="C36" s="16"/>
      <c r="D36" s="17" t="s">
        <v>553</v>
      </c>
      <c r="E36" s="18">
        <f>SUM(E37:J39)</f>
        <v>61116</v>
      </c>
      <c r="H36" s="190"/>
      <c r="I36" s="190"/>
    </row>
    <row r="37" spans="1:9" s="115" customFormat="1" ht="29.25" customHeight="1">
      <c r="A37" s="14"/>
      <c r="B37" s="15"/>
      <c r="C37" s="11" t="s">
        <v>353</v>
      </c>
      <c r="D37" s="252" t="s">
        <v>294</v>
      </c>
      <c r="E37" s="13">
        <v>7866</v>
      </c>
      <c r="H37" s="190"/>
      <c r="I37" s="190"/>
    </row>
    <row r="38" spans="1:9" s="115" customFormat="1" ht="29.25" customHeight="1">
      <c r="A38" s="14"/>
      <c r="B38" s="15"/>
      <c r="C38" s="11" t="s">
        <v>1219</v>
      </c>
      <c r="D38" s="252" t="s">
        <v>1384</v>
      </c>
      <c r="E38" s="13">
        <f>SUM('4. sz. melléklet EÜ.'!N93)</f>
        <v>53250</v>
      </c>
      <c r="H38" s="190"/>
      <c r="I38" s="190"/>
    </row>
    <row r="39" spans="1:9" s="115" customFormat="1" ht="29.25" customHeight="1">
      <c r="A39" s="14"/>
      <c r="B39" s="15"/>
      <c r="C39" s="11" t="s">
        <v>1220</v>
      </c>
      <c r="D39" s="252" t="s">
        <v>89</v>
      </c>
      <c r="E39" s="13"/>
      <c r="H39" s="190"/>
      <c r="I39" s="190"/>
    </row>
    <row r="40" spans="1:9" s="115" customFormat="1" ht="14.25">
      <c r="A40" s="14"/>
      <c r="B40" s="15" t="s">
        <v>38</v>
      </c>
      <c r="C40" s="16"/>
      <c r="D40" s="17" t="s">
        <v>1179</v>
      </c>
      <c r="E40" s="18"/>
      <c r="H40" s="190"/>
      <c r="I40" s="190"/>
    </row>
    <row r="41" spans="1:9" s="115" customFormat="1" ht="14.25">
      <c r="A41" s="14"/>
      <c r="B41" s="15" t="s">
        <v>39</v>
      </c>
      <c r="C41" s="16"/>
      <c r="D41" s="17" t="s">
        <v>1203</v>
      </c>
      <c r="E41" s="18">
        <f>E42+E67+E55+E83+E85</f>
        <v>130750</v>
      </c>
      <c r="H41" s="190"/>
      <c r="I41" s="190"/>
    </row>
    <row r="42" spans="1:8" s="115" customFormat="1" ht="14.25">
      <c r="A42" s="14"/>
      <c r="B42" s="15"/>
      <c r="C42" s="16" t="s">
        <v>513</v>
      </c>
      <c r="D42" s="17" t="s">
        <v>407</v>
      </c>
      <c r="E42" s="18">
        <f>SUM(E43:E52)-E46-E50</f>
        <v>21400</v>
      </c>
      <c r="H42" s="190"/>
    </row>
    <row r="43" spans="1:5" ht="15">
      <c r="A43" s="14"/>
      <c r="B43" s="15"/>
      <c r="C43" s="11" t="s">
        <v>461</v>
      </c>
      <c r="D43" s="116" t="s">
        <v>555</v>
      </c>
      <c r="E43" s="13">
        <v>3000</v>
      </c>
    </row>
    <row r="44" spans="1:5" ht="15">
      <c r="A44" s="14"/>
      <c r="B44" s="15"/>
      <c r="C44" s="11" t="s">
        <v>462</v>
      </c>
      <c r="D44" s="114" t="s">
        <v>1382</v>
      </c>
      <c r="E44" s="13">
        <v>200</v>
      </c>
    </row>
    <row r="45" spans="1:5" ht="15">
      <c r="A45" s="14"/>
      <c r="B45" s="15"/>
      <c r="C45" s="11" t="s">
        <v>463</v>
      </c>
      <c r="D45" s="114" t="s">
        <v>408</v>
      </c>
      <c r="E45" s="13">
        <v>8000</v>
      </c>
    </row>
    <row r="46" spans="1:5" ht="15">
      <c r="A46" s="14"/>
      <c r="B46" s="15"/>
      <c r="C46" s="79" t="s">
        <v>1496</v>
      </c>
      <c r="D46" s="317" t="s">
        <v>556</v>
      </c>
      <c r="E46" s="13"/>
    </row>
    <row r="47" spans="1:5" ht="15">
      <c r="A47" s="14"/>
      <c r="B47" s="15"/>
      <c r="C47" s="11" t="s">
        <v>464</v>
      </c>
      <c r="D47" s="114" t="s">
        <v>409</v>
      </c>
      <c r="E47" s="13">
        <v>200</v>
      </c>
    </row>
    <row r="48" spans="1:5" ht="15">
      <c r="A48" s="14"/>
      <c r="B48" s="15"/>
      <c r="C48" s="11" t="s">
        <v>465</v>
      </c>
      <c r="D48" s="114" t="s">
        <v>1</v>
      </c>
      <c r="E48" s="13">
        <v>500</v>
      </c>
    </row>
    <row r="49" spans="1:5" ht="15">
      <c r="A49" s="14"/>
      <c r="B49" s="15"/>
      <c r="C49" s="11" t="s">
        <v>466</v>
      </c>
      <c r="D49" s="117" t="s">
        <v>602</v>
      </c>
      <c r="E49" s="13">
        <v>5000</v>
      </c>
    </row>
    <row r="50" spans="1:5" ht="15" hidden="1">
      <c r="A50" s="14"/>
      <c r="B50" s="15"/>
      <c r="C50" s="11"/>
      <c r="D50" s="317"/>
      <c r="E50" s="13">
        <v>0</v>
      </c>
    </row>
    <row r="51" spans="1:8" ht="15">
      <c r="A51" s="14"/>
      <c r="B51" s="15"/>
      <c r="C51" s="11" t="s">
        <v>467</v>
      </c>
      <c r="D51" s="117" t="s">
        <v>1204</v>
      </c>
      <c r="E51" s="13">
        <v>1000</v>
      </c>
      <c r="H51" s="25" t="e">
        <f>SUM(#REF!,#REF!,#REF!,#REF!,#REF!,#REF!,#REF!,#REF!,#REF!,#REF!,#REF!,#REF!,#REF!,#REF!,#REF!,#REF!,#REF!,#REF!,#REF!)</f>
        <v>#REF!</v>
      </c>
    </row>
    <row r="52" spans="1:5" ht="15">
      <c r="A52" s="14"/>
      <c r="B52" s="15"/>
      <c r="C52" s="11" t="s">
        <v>557</v>
      </c>
      <c r="D52" s="117" t="s">
        <v>603</v>
      </c>
      <c r="E52" s="13">
        <f>SUM(E53:E54)</f>
        <v>3500</v>
      </c>
    </row>
    <row r="53" spans="1:5" ht="15">
      <c r="A53" s="14"/>
      <c r="B53" s="15"/>
      <c r="C53" s="79" t="s">
        <v>1497</v>
      </c>
      <c r="D53" s="317" t="s">
        <v>941</v>
      </c>
      <c r="E53" s="13">
        <v>2000</v>
      </c>
    </row>
    <row r="54" spans="1:5" ht="15">
      <c r="A54" s="14"/>
      <c r="B54" s="15"/>
      <c r="C54" s="79" t="s">
        <v>1498</v>
      </c>
      <c r="D54" s="317" t="s">
        <v>293</v>
      </c>
      <c r="E54" s="13">
        <v>1500</v>
      </c>
    </row>
    <row r="55" spans="1:8" s="115" customFormat="1" ht="14.25">
      <c r="A55" s="14"/>
      <c r="B55" s="15"/>
      <c r="C55" s="16" t="s">
        <v>515</v>
      </c>
      <c r="D55" s="17" t="s">
        <v>410</v>
      </c>
      <c r="E55" s="18">
        <f>SUM(E56:E65)-E57-E58-E59</f>
        <v>45000</v>
      </c>
      <c r="H55" s="190"/>
    </row>
    <row r="56" spans="1:5" ht="15">
      <c r="A56" s="14"/>
      <c r="B56" s="15"/>
      <c r="C56" s="11" t="s">
        <v>1037</v>
      </c>
      <c r="D56" s="118" t="s">
        <v>653</v>
      </c>
      <c r="E56" s="58">
        <f>SUM(E57:E59)</f>
        <v>25000</v>
      </c>
    </row>
    <row r="57" spans="1:5" ht="15">
      <c r="A57" s="14"/>
      <c r="B57" s="15"/>
      <c r="C57" s="11" t="s">
        <v>1038</v>
      </c>
      <c r="D57" s="118" t="s">
        <v>41</v>
      </c>
      <c r="E57" s="13">
        <v>17500</v>
      </c>
    </row>
    <row r="58" spans="1:5" ht="15">
      <c r="A58" s="14"/>
      <c r="B58" s="15"/>
      <c r="C58" s="11" t="s">
        <v>1039</v>
      </c>
      <c r="D58" s="118" t="s">
        <v>654</v>
      </c>
      <c r="E58" s="13">
        <v>7000</v>
      </c>
    </row>
    <row r="59" spans="1:5" ht="15">
      <c r="A59" s="14"/>
      <c r="B59" s="15"/>
      <c r="C59" s="11" t="s">
        <v>1040</v>
      </c>
      <c r="D59" s="118" t="s">
        <v>655</v>
      </c>
      <c r="E59" s="13">
        <v>500</v>
      </c>
    </row>
    <row r="60" spans="1:5" ht="15">
      <c r="A60" s="14"/>
      <c r="B60" s="15"/>
      <c r="C60" s="11" t="s">
        <v>1041</v>
      </c>
      <c r="D60" s="119" t="s">
        <v>656</v>
      </c>
      <c r="E60" s="13">
        <v>3500</v>
      </c>
    </row>
    <row r="61" spans="1:5" ht="15">
      <c r="A61" s="14"/>
      <c r="B61" s="15"/>
      <c r="C61" s="11" t="s">
        <v>1042</v>
      </c>
      <c r="D61" s="119" t="s">
        <v>415</v>
      </c>
      <c r="E61" s="13">
        <v>1500</v>
      </c>
    </row>
    <row r="62" spans="1:5" ht="15">
      <c r="A62" s="122"/>
      <c r="B62" s="123"/>
      <c r="C62" s="11" t="s">
        <v>1043</v>
      </c>
      <c r="D62" s="1020" t="s">
        <v>414</v>
      </c>
      <c r="E62" s="95">
        <v>0</v>
      </c>
    </row>
    <row r="63" spans="1:5" ht="15">
      <c r="A63" s="122"/>
      <c r="B63" s="123"/>
      <c r="C63" s="11" t="s">
        <v>1044</v>
      </c>
      <c r="D63" s="120" t="s">
        <v>1426</v>
      </c>
      <c r="E63" s="95">
        <v>0</v>
      </c>
    </row>
    <row r="64" spans="1:5" ht="15">
      <c r="A64" s="122"/>
      <c r="B64" s="123"/>
      <c r="C64" s="11" t="s">
        <v>1045</v>
      </c>
      <c r="D64" s="120" t="s">
        <v>1458</v>
      </c>
      <c r="E64" s="95">
        <v>7500</v>
      </c>
    </row>
    <row r="65" spans="1:5" ht="15">
      <c r="A65" s="122"/>
      <c r="B65" s="123"/>
      <c r="C65" s="11" t="s">
        <v>1499</v>
      </c>
      <c r="D65" s="130" t="s">
        <v>1205</v>
      </c>
      <c r="E65" s="95">
        <v>7500</v>
      </c>
    </row>
    <row r="66" spans="1:5" ht="15">
      <c r="A66" s="122"/>
      <c r="B66" s="123"/>
      <c r="C66" s="1193" t="s">
        <v>1500</v>
      </c>
      <c r="D66" s="420" t="s">
        <v>1161</v>
      </c>
      <c r="E66" s="129">
        <v>2500</v>
      </c>
    </row>
    <row r="67" spans="1:5" ht="14.25">
      <c r="A67" s="122"/>
      <c r="B67" s="123"/>
      <c r="C67" s="125" t="s">
        <v>468</v>
      </c>
      <c r="D67" s="126" t="s">
        <v>678</v>
      </c>
      <c r="E67" s="127">
        <f>SUM(E68:J84)-E71-E70</f>
        <v>42750</v>
      </c>
    </row>
    <row r="68" spans="1:5" ht="15">
      <c r="A68" s="122"/>
      <c r="B68" s="123"/>
      <c r="C68" s="56" t="s">
        <v>469</v>
      </c>
      <c r="D68" s="120" t="s">
        <v>679</v>
      </c>
      <c r="E68" s="95">
        <v>1000</v>
      </c>
    </row>
    <row r="69" spans="1:5" ht="15">
      <c r="A69" s="122"/>
      <c r="B69" s="123"/>
      <c r="C69" s="56" t="s">
        <v>470</v>
      </c>
      <c r="D69" s="120" t="s">
        <v>680</v>
      </c>
      <c r="E69" s="95">
        <f>SUM(E70:E71)</f>
        <v>750</v>
      </c>
    </row>
    <row r="70" spans="1:5" ht="15">
      <c r="A70" s="122"/>
      <c r="B70" s="123"/>
      <c r="C70" s="56" t="s">
        <v>560</v>
      </c>
      <c r="D70" s="128" t="s">
        <v>681</v>
      </c>
      <c r="E70" s="129">
        <v>350</v>
      </c>
    </row>
    <row r="71" spans="1:5" ht="15">
      <c r="A71" s="122"/>
      <c r="B71" s="123"/>
      <c r="C71" s="56" t="s">
        <v>561</v>
      </c>
      <c r="D71" s="128" t="s">
        <v>682</v>
      </c>
      <c r="E71" s="129">
        <v>400</v>
      </c>
    </row>
    <row r="72" spans="1:5" ht="15">
      <c r="A72" s="122"/>
      <c r="B72" s="123"/>
      <c r="C72" s="56" t="s">
        <v>558</v>
      </c>
      <c r="D72" s="120" t="s">
        <v>90</v>
      </c>
      <c r="E72" s="95">
        <v>2000</v>
      </c>
    </row>
    <row r="73" spans="1:5" ht="15">
      <c r="A73" s="122"/>
      <c r="B73" s="123"/>
      <c r="C73" s="56" t="s">
        <v>91</v>
      </c>
      <c r="D73" s="120" t="s">
        <v>684</v>
      </c>
      <c r="E73" s="95">
        <v>35000</v>
      </c>
    </row>
    <row r="74" spans="1:5" ht="15">
      <c r="A74" s="122"/>
      <c r="B74" s="123"/>
      <c r="C74" s="56" t="s">
        <v>92</v>
      </c>
      <c r="D74" s="130" t="s">
        <v>3</v>
      </c>
      <c r="E74" s="95">
        <v>1500</v>
      </c>
    </row>
    <row r="75" spans="1:5" ht="15" hidden="1">
      <c r="A75" s="122"/>
      <c r="B75" s="123"/>
      <c r="C75" s="56" t="s">
        <v>93</v>
      </c>
      <c r="D75" s="120"/>
      <c r="E75" s="95"/>
    </row>
    <row r="76" spans="1:5" ht="15" hidden="1">
      <c r="A76" s="122"/>
      <c r="B76" s="123"/>
      <c r="C76" s="56" t="s">
        <v>559</v>
      </c>
      <c r="D76" s="120"/>
      <c r="E76" s="95"/>
    </row>
    <row r="77" spans="1:5" ht="15" hidden="1">
      <c r="A77" s="122"/>
      <c r="B77" s="123"/>
      <c r="C77" s="56" t="s">
        <v>94</v>
      </c>
      <c r="D77" s="120"/>
      <c r="E77" s="95"/>
    </row>
    <row r="78" spans="1:5" ht="15" hidden="1">
      <c r="A78" s="122"/>
      <c r="B78" s="123"/>
      <c r="C78" s="56" t="s">
        <v>95</v>
      </c>
      <c r="D78" s="120"/>
      <c r="E78" s="95"/>
    </row>
    <row r="79" spans="1:5" ht="15" hidden="1">
      <c r="A79" s="122"/>
      <c r="B79" s="123"/>
      <c r="C79" s="56" t="s">
        <v>96</v>
      </c>
      <c r="D79" s="120"/>
      <c r="E79" s="95"/>
    </row>
    <row r="80" spans="1:5" ht="15" hidden="1">
      <c r="A80" s="122"/>
      <c r="B80" s="123"/>
      <c r="C80" s="56" t="s">
        <v>97</v>
      </c>
      <c r="D80" s="120"/>
      <c r="E80" s="95"/>
    </row>
    <row r="81" spans="1:5" ht="15" hidden="1">
      <c r="A81" s="122"/>
      <c r="B81" s="123"/>
      <c r="C81" s="56" t="s">
        <v>98</v>
      </c>
      <c r="D81" s="120"/>
      <c r="E81" s="95"/>
    </row>
    <row r="82" spans="1:5" ht="15" hidden="1">
      <c r="A82" s="122"/>
      <c r="B82" s="123"/>
      <c r="C82" s="56" t="s">
        <v>99</v>
      </c>
      <c r="D82" s="120"/>
      <c r="E82" s="95"/>
    </row>
    <row r="83" spans="1:5" ht="28.5" hidden="1">
      <c r="A83" s="122"/>
      <c r="B83" s="123"/>
      <c r="C83" s="56" t="s">
        <v>100</v>
      </c>
      <c r="D83" s="126" t="s">
        <v>702</v>
      </c>
      <c r="E83" s="127"/>
    </row>
    <row r="84" spans="1:5" ht="15">
      <c r="A84" s="122"/>
      <c r="B84" s="123"/>
      <c r="C84" s="56" t="s">
        <v>101</v>
      </c>
      <c r="D84" s="130" t="s">
        <v>611</v>
      </c>
      <c r="E84" s="95">
        <v>2500</v>
      </c>
    </row>
    <row r="85" spans="1:5" ht="14.25">
      <c r="A85" s="122"/>
      <c r="B85" s="123"/>
      <c r="C85" s="125" t="s">
        <v>471</v>
      </c>
      <c r="D85" s="126" t="s">
        <v>306</v>
      </c>
      <c r="E85" s="127">
        <v>21600</v>
      </c>
    </row>
    <row r="86" spans="1:9" ht="15">
      <c r="A86" s="9"/>
      <c r="B86" s="15" t="s">
        <v>42</v>
      </c>
      <c r="C86" s="16"/>
      <c r="D86" s="17" t="s">
        <v>405</v>
      </c>
      <c r="E86" s="18">
        <f>SUM(E87:E102)</f>
        <v>40000</v>
      </c>
      <c r="G86" t="s">
        <v>352</v>
      </c>
      <c r="H86" s="25">
        <v>51857</v>
      </c>
      <c r="I86" s="25">
        <v>51858</v>
      </c>
    </row>
    <row r="87" spans="1:9" ht="15">
      <c r="A87" s="9"/>
      <c r="B87" s="15"/>
      <c r="C87" s="11" t="s">
        <v>472</v>
      </c>
      <c r="D87" s="120" t="s">
        <v>354</v>
      </c>
      <c r="E87" s="13">
        <v>450</v>
      </c>
      <c r="G87" t="s">
        <v>355</v>
      </c>
      <c r="I87" s="25">
        <v>376265</v>
      </c>
    </row>
    <row r="88" spans="1:9" ht="15">
      <c r="A88" s="9"/>
      <c r="B88" s="15"/>
      <c r="C88" s="11" t="s">
        <v>437</v>
      </c>
      <c r="D88" s="120" t="s">
        <v>434</v>
      </c>
      <c r="E88" s="13">
        <v>2000</v>
      </c>
      <c r="I88" s="25"/>
    </row>
    <row r="89" spans="1:9" ht="15">
      <c r="A89" s="9"/>
      <c r="B89" s="15"/>
      <c r="C89" s="11" t="s">
        <v>473</v>
      </c>
      <c r="D89" s="120" t="s">
        <v>435</v>
      </c>
      <c r="E89" s="13">
        <v>300</v>
      </c>
      <c r="I89" s="25"/>
    </row>
    <row r="90" spans="1:9" ht="15">
      <c r="A90" s="9"/>
      <c r="B90" s="15"/>
      <c r="C90" s="11" t="s">
        <v>438</v>
      </c>
      <c r="D90" s="120" t="s">
        <v>356</v>
      </c>
      <c r="E90" s="13">
        <v>1000</v>
      </c>
      <c r="H90" s="25" t="e">
        <f>SUM(H4:H87)-#REF!</f>
        <v>#REF!</v>
      </c>
      <c r="I90" s="25" t="e">
        <f>SUM(I4:I87)-#REF!</f>
        <v>#REF!</v>
      </c>
    </row>
    <row r="91" spans="1:5" ht="15">
      <c r="A91" s="9"/>
      <c r="B91" s="15"/>
      <c r="C91" s="11" t="s">
        <v>439</v>
      </c>
      <c r="D91" s="120" t="s">
        <v>357</v>
      </c>
      <c r="E91" s="13">
        <v>1000</v>
      </c>
    </row>
    <row r="92" spans="1:5" ht="15">
      <c r="A92" s="9"/>
      <c r="B92" s="15"/>
      <c r="C92" s="11" t="s">
        <v>440</v>
      </c>
      <c r="D92" s="120" t="s">
        <v>432</v>
      </c>
      <c r="E92" s="13">
        <v>200</v>
      </c>
    </row>
    <row r="93" spans="1:5" ht="15">
      <c r="A93" s="9"/>
      <c r="B93" s="15"/>
      <c r="C93" s="11" t="s">
        <v>441</v>
      </c>
      <c r="D93" s="120" t="s">
        <v>429</v>
      </c>
      <c r="E93" s="13">
        <v>4500</v>
      </c>
    </row>
    <row r="94" spans="1:5" ht="15">
      <c r="A94" s="9"/>
      <c r="B94" s="15"/>
      <c r="C94" s="11" t="s">
        <v>442</v>
      </c>
      <c r="D94" s="120" t="s">
        <v>430</v>
      </c>
      <c r="E94" s="13">
        <v>4500</v>
      </c>
    </row>
    <row r="95" spans="1:5" ht="15">
      <c r="A95" s="9"/>
      <c r="B95" s="15"/>
      <c r="C95" s="11" t="s">
        <v>443</v>
      </c>
      <c r="D95" s="120" t="s">
        <v>431</v>
      </c>
      <c r="E95" s="13">
        <v>9000</v>
      </c>
    </row>
    <row r="96" spans="1:5" ht="15" customHeight="1">
      <c r="A96" s="9"/>
      <c r="B96" s="15"/>
      <c r="C96" s="11" t="s">
        <v>444</v>
      </c>
      <c r="D96" s="120" t="s">
        <v>1178</v>
      </c>
      <c r="E96" s="13">
        <v>500</v>
      </c>
    </row>
    <row r="97" spans="1:5" ht="15.75" customHeight="1">
      <c r="A97" s="9"/>
      <c r="B97" s="15"/>
      <c r="C97" s="11" t="s">
        <v>445</v>
      </c>
      <c r="D97" s="124" t="s">
        <v>1424</v>
      </c>
      <c r="E97" s="13">
        <v>7000</v>
      </c>
    </row>
    <row r="98" spans="1:5" ht="15">
      <c r="A98" s="9"/>
      <c r="B98" s="15"/>
      <c r="C98" s="11" t="s">
        <v>446</v>
      </c>
      <c r="D98" s="120" t="s">
        <v>1158</v>
      </c>
      <c r="E98" s="13">
        <v>300</v>
      </c>
    </row>
    <row r="99" spans="1:5" ht="15">
      <c r="A99" s="9"/>
      <c r="B99" s="15"/>
      <c r="C99" s="11" t="s">
        <v>447</v>
      </c>
      <c r="D99" s="120" t="s">
        <v>360</v>
      </c>
      <c r="E99" s="13">
        <v>1000</v>
      </c>
    </row>
    <row r="100" spans="1:5" ht="15">
      <c r="A100" s="9"/>
      <c r="B100" s="15"/>
      <c r="C100" s="11" t="s">
        <v>448</v>
      </c>
      <c r="D100" s="120" t="s">
        <v>436</v>
      </c>
      <c r="E100" s="13">
        <v>1200</v>
      </c>
    </row>
    <row r="101" spans="1:5" ht="15">
      <c r="A101" s="9"/>
      <c r="B101" s="15"/>
      <c r="C101" s="11" t="s">
        <v>449</v>
      </c>
      <c r="D101" s="120" t="s">
        <v>361</v>
      </c>
      <c r="E101" s="13">
        <v>7000</v>
      </c>
    </row>
    <row r="102" spans="1:5" ht="15">
      <c r="A102" s="9"/>
      <c r="B102" s="15"/>
      <c r="C102" s="11" t="s">
        <v>450</v>
      </c>
      <c r="D102" s="120" t="s">
        <v>433</v>
      </c>
      <c r="E102" s="13">
        <v>50</v>
      </c>
    </row>
    <row r="103" spans="1:5" ht="15">
      <c r="A103" s="55"/>
      <c r="B103" s="123"/>
      <c r="C103" s="125"/>
      <c r="D103" s="131" t="s">
        <v>686</v>
      </c>
      <c r="E103" s="1033">
        <v>108.25</v>
      </c>
    </row>
    <row r="104" spans="1:8" ht="19.5" customHeight="1">
      <c r="A104" s="1067" t="s">
        <v>1180</v>
      </c>
      <c r="B104" s="1068"/>
      <c r="C104" s="1068"/>
      <c r="D104" s="1069"/>
      <c r="E104" s="231">
        <f>E4+E7+E13+E41+E86+E36+E40</f>
        <v>988632</v>
      </c>
      <c r="H104"/>
    </row>
    <row r="105" spans="1:9" ht="15">
      <c r="A105" s="9"/>
      <c r="B105" s="15" t="s">
        <v>714</v>
      </c>
      <c r="C105" s="16"/>
      <c r="D105" s="17" t="s">
        <v>554</v>
      </c>
      <c r="E105" s="18">
        <f>E106+E107</f>
        <v>114882</v>
      </c>
      <c r="I105" s="25"/>
    </row>
    <row r="106" spans="1:8" ht="15">
      <c r="A106" s="9"/>
      <c r="B106" s="15"/>
      <c r="C106" s="11" t="s">
        <v>474</v>
      </c>
      <c r="D106" s="114" t="s">
        <v>514</v>
      </c>
      <c r="E106" s="13">
        <v>20000</v>
      </c>
      <c r="H106"/>
    </row>
    <row r="107" spans="1:8" ht="15">
      <c r="A107" s="9"/>
      <c r="B107" s="15"/>
      <c r="C107" s="10" t="s">
        <v>475</v>
      </c>
      <c r="D107" s="114" t="s">
        <v>0</v>
      </c>
      <c r="E107" s="8">
        <f>SUM('7a. sz mell.'!I118)</f>
        <v>94882</v>
      </c>
      <c r="H107"/>
    </row>
    <row r="108" spans="1:8" ht="19.5" customHeight="1">
      <c r="A108" s="1067" t="s">
        <v>509</v>
      </c>
      <c r="B108" s="1068" t="s">
        <v>715</v>
      </c>
      <c r="C108" s="1068"/>
      <c r="D108" s="1069" t="s">
        <v>636</v>
      </c>
      <c r="E108" s="215">
        <f>E105</f>
        <v>114882</v>
      </c>
      <c r="H108"/>
    </row>
    <row r="109" spans="1:8" ht="19.5" customHeight="1">
      <c r="A109" s="1067" t="s">
        <v>1190</v>
      </c>
      <c r="B109" s="1068"/>
      <c r="C109" s="1068"/>
      <c r="D109" s="1069"/>
      <c r="E109" s="215">
        <f>E104+E108</f>
        <v>1103514</v>
      </c>
      <c r="H109"/>
    </row>
    <row r="110" spans="1:9" ht="15">
      <c r="A110" s="9"/>
      <c r="B110" s="15" t="s">
        <v>715</v>
      </c>
      <c r="C110" s="16"/>
      <c r="D110" s="17" t="s">
        <v>641</v>
      </c>
      <c r="E110" s="18"/>
      <c r="I110" s="25"/>
    </row>
    <row r="111" spans="1:9" ht="15">
      <c r="A111" s="9"/>
      <c r="B111" s="15" t="s">
        <v>716</v>
      </c>
      <c r="C111" s="16"/>
      <c r="D111" s="17" t="s">
        <v>564</v>
      </c>
      <c r="E111" s="18">
        <f>SUM(E112+E113+E115+E116+E117)</f>
        <v>0</v>
      </c>
      <c r="I111" s="25"/>
    </row>
    <row r="112" spans="1:5" ht="15" hidden="1">
      <c r="A112" s="14"/>
      <c r="B112" s="15"/>
      <c r="C112" s="11" t="s">
        <v>476</v>
      </c>
      <c r="D112" s="12" t="s">
        <v>703</v>
      </c>
      <c r="E112" s="13"/>
    </row>
    <row r="113" spans="1:5" ht="15" customHeight="1" hidden="1">
      <c r="A113" s="14"/>
      <c r="B113" s="15"/>
      <c r="C113" s="11" t="s">
        <v>477</v>
      </c>
      <c r="D113" s="12" t="s">
        <v>705</v>
      </c>
      <c r="E113" s="58"/>
    </row>
    <row r="114" spans="1:5" ht="15" customHeight="1" hidden="1">
      <c r="A114" s="14"/>
      <c r="B114" s="15"/>
      <c r="C114" s="11" t="s">
        <v>478</v>
      </c>
      <c r="D114" s="12" t="s">
        <v>706</v>
      </c>
      <c r="E114" s="13"/>
    </row>
    <row r="115" spans="1:5" ht="15" customHeight="1" hidden="1">
      <c r="A115" s="14"/>
      <c r="B115" s="15"/>
      <c r="C115" s="11" t="s">
        <v>479</v>
      </c>
      <c r="D115" s="12" t="s">
        <v>707</v>
      </c>
      <c r="E115" s="49"/>
    </row>
    <row r="116" spans="1:5" ht="15" customHeight="1" hidden="1">
      <c r="A116" s="14"/>
      <c r="B116" s="15"/>
      <c r="C116" s="11" t="s">
        <v>1427</v>
      </c>
      <c r="D116" s="12" t="s">
        <v>537</v>
      </c>
      <c r="E116" s="13"/>
    </row>
    <row r="117" spans="1:5" ht="15" customHeight="1" hidden="1">
      <c r="A117" s="14"/>
      <c r="B117" s="15"/>
      <c r="C117" s="11" t="s">
        <v>1428</v>
      </c>
      <c r="D117" s="12" t="s">
        <v>237</v>
      </c>
      <c r="E117" s="13"/>
    </row>
    <row r="118" spans="1:8" ht="19.5" customHeight="1">
      <c r="A118" s="1067" t="s">
        <v>510</v>
      </c>
      <c r="B118" s="1068"/>
      <c r="C118" s="1068"/>
      <c r="D118" s="1069"/>
      <c r="E118" s="215">
        <f>E111+E110</f>
        <v>0</v>
      </c>
      <c r="H118"/>
    </row>
    <row r="119" spans="1:14" ht="19.5" customHeight="1">
      <c r="A119" s="1073" t="s">
        <v>511</v>
      </c>
      <c r="B119" s="1074"/>
      <c r="C119" s="1074"/>
      <c r="D119" s="1075"/>
      <c r="E119" s="230">
        <f>E118+E109</f>
        <v>1103514</v>
      </c>
      <c r="F119" s="217"/>
      <c r="G119" s="217"/>
      <c r="H119" s="217"/>
      <c r="M119" s="25"/>
      <c r="N119" s="25"/>
    </row>
    <row r="120" spans="1:8" ht="19.5" customHeight="1">
      <c r="A120" s="1187"/>
      <c r="B120" s="232"/>
      <c r="C120" s="232"/>
      <c r="D120" s="232"/>
      <c r="E120" s="1186"/>
      <c r="F120" s="217"/>
      <c r="G120" s="217"/>
      <c r="H120" s="217"/>
    </row>
    <row r="121" spans="1:8" ht="19.5" customHeight="1">
      <c r="A121" s="226" t="s">
        <v>6</v>
      </c>
      <c r="B121" s="227"/>
      <c r="C121" s="228"/>
      <c r="D121" s="229"/>
      <c r="E121" s="230"/>
      <c r="F121" s="217"/>
      <c r="G121" s="217"/>
      <c r="H121" s="217"/>
    </row>
    <row r="122" spans="1:5" s="213" customFormat="1" ht="16.5">
      <c r="A122" s="224"/>
      <c r="B122" s="34"/>
      <c r="C122" s="74" t="s">
        <v>20</v>
      </c>
      <c r="D122" s="35" t="s">
        <v>53</v>
      </c>
      <c r="E122" s="32">
        <f>SUM('5.sz.melléklet'!G16)</f>
        <v>0</v>
      </c>
    </row>
    <row r="123" spans="1:5" s="213" customFormat="1" ht="16.5">
      <c r="A123" s="224"/>
      <c r="B123" s="34"/>
      <c r="C123" s="74" t="s">
        <v>44</v>
      </c>
      <c r="D123" s="35" t="s">
        <v>52</v>
      </c>
      <c r="E123" s="32">
        <f>SUM('6.sz.melléklet '!H116)</f>
        <v>50100</v>
      </c>
    </row>
    <row r="124" spans="1:5" s="213" customFormat="1" ht="16.5">
      <c r="A124" s="224"/>
      <c r="B124" s="34"/>
      <c r="C124" s="74" t="s">
        <v>45</v>
      </c>
      <c r="D124" s="35" t="s">
        <v>650</v>
      </c>
      <c r="E124" s="32">
        <f>E125</f>
        <v>0</v>
      </c>
    </row>
    <row r="125" spans="1:5" ht="15" customHeight="1" hidden="1">
      <c r="A125" s="14"/>
      <c r="B125" s="15"/>
      <c r="C125" s="11" t="s">
        <v>254</v>
      </c>
      <c r="D125" s="12" t="s">
        <v>516</v>
      </c>
      <c r="E125" s="13"/>
    </row>
    <row r="126" spans="1:5" s="213" customFormat="1" ht="16.5">
      <c r="A126" s="224"/>
      <c r="B126" s="34"/>
      <c r="C126" s="74" t="s">
        <v>49</v>
      </c>
      <c r="D126" s="35" t="s">
        <v>553</v>
      </c>
      <c r="E126" s="32"/>
    </row>
    <row r="127" spans="1:5" s="213" customFormat="1" ht="16.5">
      <c r="A127" s="224"/>
      <c r="B127" s="34"/>
      <c r="C127" s="74" t="s">
        <v>50</v>
      </c>
      <c r="D127" s="35" t="s">
        <v>495</v>
      </c>
      <c r="E127" s="32">
        <f>E128+E129</f>
        <v>50621</v>
      </c>
    </row>
    <row r="128" spans="1:5" ht="15">
      <c r="A128" s="122"/>
      <c r="B128" s="123"/>
      <c r="C128" s="56" t="s">
        <v>517</v>
      </c>
      <c r="D128" s="120" t="s">
        <v>1207</v>
      </c>
      <c r="E128" s="95"/>
    </row>
    <row r="129" spans="1:5" ht="15">
      <c r="A129" s="122"/>
      <c r="B129" s="123"/>
      <c r="C129" s="56" t="s">
        <v>518</v>
      </c>
      <c r="D129" s="120" t="s">
        <v>1208</v>
      </c>
      <c r="E129" s="95">
        <v>50621</v>
      </c>
    </row>
    <row r="130" spans="1:5" s="213" customFormat="1" ht="16.5">
      <c r="A130" s="224"/>
      <c r="B130" s="34"/>
      <c r="C130" s="74" t="s">
        <v>51</v>
      </c>
      <c r="D130" s="35" t="s">
        <v>651</v>
      </c>
      <c r="E130" s="32"/>
    </row>
    <row r="131" spans="1:5" ht="15" hidden="1">
      <c r="A131" s="122"/>
      <c r="B131" s="123"/>
      <c r="C131" s="56" t="s">
        <v>258</v>
      </c>
      <c r="D131" s="120" t="s">
        <v>406</v>
      </c>
      <c r="E131" s="95"/>
    </row>
    <row r="132" spans="1:8" ht="19.5" customHeight="1">
      <c r="A132" s="1067" t="s">
        <v>519</v>
      </c>
      <c r="B132" s="1068"/>
      <c r="C132" s="1068"/>
      <c r="D132" s="1069" t="s">
        <v>27</v>
      </c>
      <c r="E132" s="231">
        <f>E122+E123+E124+E126+E127+E130</f>
        <v>100721</v>
      </c>
      <c r="H132"/>
    </row>
    <row r="133" spans="1:5" s="213" customFormat="1" ht="16.5">
      <c r="A133" s="224"/>
      <c r="B133" s="34"/>
      <c r="C133" s="74" t="s">
        <v>259</v>
      </c>
      <c r="D133" s="35" t="s">
        <v>554</v>
      </c>
      <c r="E133" s="32">
        <f>E134</f>
        <v>737716</v>
      </c>
    </row>
    <row r="134" spans="1:5" ht="15">
      <c r="A134" s="122"/>
      <c r="B134" s="123"/>
      <c r="C134" s="56" t="s">
        <v>699</v>
      </c>
      <c r="D134" s="120" t="s">
        <v>1387</v>
      </c>
      <c r="E134" s="13">
        <f>SUM('7b. sz mell.'!F41)</f>
        <v>737716</v>
      </c>
    </row>
    <row r="135" spans="1:8" ht="19.5" customHeight="1">
      <c r="A135" s="1067" t="s">
        <v>520</v>
      </c>
      <c r="B135" s="1068" t="s">
        <v>715</v>
      </c>
      <c r="C135" s="1068"/>
      <c r="D135" s="1069" t="s">
        <v>636</v>
      </c>
      <c r="E135" s="215">
        <f>E134</f>
        <v>737716</v>
      </c>
      <c r="H135"/>
    </row>
    <row r="136" spans="1:8" ht="19.5" customHeight="1">
      <c r="A136" s="1067" t="s">
        <v>521</v>
      </c>
      <c r="B136" s="1068"/>
      <c r="C136" s="1068"/>
      <c r="D136" s="1069"/>
      <c r="E136" s="215">
        <f>E132+E135</f>
        <v>838437</v>
      </c>
      <c r="H136"/>
    </row>
    <row r="137" spans="1:5" s="213" customFormat="1" ht="16.5">
      <c r="A137" s="224"/>
      <c r="B137" s="34"/>
      <c r="C137" s="74" t="s">
        <v>308</v>
      </c>
      <c r="D137" s="35" t="s">
        <v>652</v>
      </c>
      <c r="E137" s="32">
        <f>E138</f>
        <v>75446</v>
      </c>
    </row>
    <row r="138" spans="1:5" ht="15" customHeight="1">
      <c r="A138" s="14"/>
      <c r="B138" s="15"/>
      <c r="C138" s="11" t="s">
        <v>700</v>
      </c>
      <c r="D138" s="12" t="s">
        <v>704</v>
      </c>
      <c r="E138" s="13">
        <f>SUM(E139+E141+E143+E144+E140+E142)</f>
        <v>75446</v>
      </c>
    </row>
    <row r="139" spans="1:5" ht="15">
      <c r="A139" s="14"/>
      <c r="B139" s="15"/>
      <c r="C139" s="11" t="s">
        <v>522</v>
      </c>
      <c r="D139" s="12" t="s">
        <v>1448</v>
      </c>
      <c r="E139" s="13">
        <v>5140</v>
      </c>
    </row>
    <row r="140" spans="1:5" ht="15">
      <c r="A140" s="14"/>
      <c r="B140" s="15"/>
      <c r="C140" s="11" t="s">
        <v>1103</v>
      </c>
      <c r="D140" s="198" t="s">
        <v>1174</v>
      </c>
      <c r="E140" s="8">
        <v>5000</v>
      </c>
    </row>
    <row r="141" spans="1:5" ht="15">
      <c r="A141" s="14"/>
      <c r="B141" s="15"/>
      <c r="C141" s="11" t="s">
        <v>1169</v>
      </c>
      <c r="D141" s="198" t="s">
        <v>1102</v>
      </c>
      <c r="E141" s="8">
        <v>10000</v>
      </c>
    </row>
    <row r="142" spans="1:5" ht="15">
      <c r="A142" s="14"/>
      <c r="B142" s="15"/>
      <c r="C142" s="11" t="s">
        <v>1170</v>
      </c>
      <c r="D142" s="198" t="s">
        <v>1078</v>
      </c>
      <c r="E142" s="8">
        <v>53754</v>
      </c>
    </row>
    <row r="143" spans="1:5" ht="15">
      <c r="A143" s="14"/>
      <c r="B143" s="15"/>
      <c r="C143" s="11" t="s">
        <v>1175</v>
      </c>
      <c r="D143" s="198" t="s">
        <v>1167</v>
      </c>
      <c r="E143" s="8">
        <v>0</v>
      </c>
    </row>
    <row r="144" spans="1:5" ht="15">
      <c r="A144" s="14"/>
      <c r="B144" s="15"/>
      <c r="C144" s="11" t="s">
        <v>901</v>
      </c>
      <c r="D144" s="198" t="s">
        <v>1168</v>
      </c>
      <c r="E144" s="8">
        <v>1552</v>
      </c>
    </row>
    <row r="145" spans="1:5" ht="15">
      <c r="A145" s="14"/>
      <c r="B145" s="15"/>
      <c r="C145" s="11" t="s">
        <v>1015</v>
      </c>
      <c r="D145" s="198" t="s">
        <v>1016</v>
      </c>
      <c r="E145" s="8">
        <v>0</v>
      </c>
    </row>
    <row r="146" spans="1:8" ht="19.5" customHeight="1">
      <c r="A146" s="1067" t="s">
        <v>523</v>
      </c>
      <c r="B146" s="1068"/>
      <c r="C146" s="1068"/>
      <c r="D146" s="1069"/>
      <c r="E146" s="215">
        <f>E137</f>
        <v>75446</v>
      </c>
      <c r="H146"/>
    </row>
    <row r="147" spans="1:8" ht="19.5" customHeight="1">
      <c r="A147" s="1073" t="s">
        <v>524</v>
      </c>
      <c r="B147" s="1074"/>
      <c r="C147" s="1074"/>
      <c r="D147" s="1075"/>
      <c r="E147" s="216">
        <f>E136+E146</f>
        <v>913883</v>
      </c>
      <c r="F147" s="217"/>
      <c r="G147" s="217"/>
      <c r="H147" s="217"/>
    </row>
    <row r="148" spans="1:8" ht="19.5" customHeight="1">
      <c r="A148" s="1123" t="s">
        <v>687</v>
      </c>
      <c r="B148" s="1124"/>
      <c r="C148" s="1124"/>
      <c r="D148" s="1124"/>
      <c r="E148" s="1185"/>
      <c r="F148" s="260"/>
      <c r="G148" s="260"/>
      <c r="H148" s="261"/>
    </row>
    <row r="149" spans="1:8" ht="19.5" customHeight="1">
      <c r="A149" s="1125" t="s">
        <v>498</v>
      </c>
      <c r="B149" s="1126"/>
      <c r="C149" s="1126"/>
      <c r="D149" s="1127"/>
      <c r="E149" s="216"/>
      <c r="F149" s="217">
        <f>F257+F262</f>
        <v>0</v>
      </c>
      <c r="G149" s="217">
        <f>G257+G262</f>
        <v>0</v>
      </c>
      <c r="H149" s="217">
        <f>H257+H262</f>
        <v>0</v>
      </c>
    </row>
    <row r="150" spans="1:5" ht="15">
      <c r="A150" s="4"/>
      <c r="B150" s="20" t="s">
        <v>20</v>
      </c>
      <c r="C150" s="21"/>
      <c r="D150" s="22" t="s">
        <v>146</v>
      </c>
      <c r="E150" s="23">
        <f>SUM(E151:E153)</f>
        <v>176307</v>
      </c>
    </row>
    <row r="151" spans="1:5" ht="15">
      <c r="A151" s="4"/>
      <c r="B151" s="20"/>
      <c r="C151" s="11" t="s">
        <v>1501</v>
      </c>
      <c r="D151" s="12" t="s">
        <v>689</v>
      </c>
      <c r="E151" s="8">
        <v>4680</v>
      </c>
    </row>
    <row r="152" spans="1:5" ht="15">
      <c r="A152" s="4"/>
      <c r="B152" s="20"/>
      <c r="C152" s="11" t="s">
        <v>1502</v>
      </c>
      <c r="D152" s="12" t="s">
        <v>35</v>
      </c>
      <c r="E152" s="8">
        <v>1264</v>
      </c>
    </row>
    <row r="153" spans="1:5" ht="15">
      <c r="A153" s="9"/>
      <c r="B153" s="10"/>
      <c r="C153" s="11" t="s">
        <v>1503</v>
      </c>
      <c r="D153" s="12" t="s">
        <v>552</v>
      </c>
      <c r="E153" s="13">
        <v>170363</v>
      </c>
    </row>
    <row r="154" spans="1:5" ht="15">
      <c r="A154" s="9"/>
      <c r="B154" s="10"/>
      <c r="C154" s="11"/>
      <c r="D154" s="181" t="s">
        <v>686</v>
      </c>
      <c r="E154" s="182">
        <v>5</v>
      </c>
    </row>
    <row r="155" spans="1:5" ht="15">
      <c r="A155" s="9"/>
      <c r="B155" s="15" t="s">
        <v>44</v>
      </c>
      <c r="C155" s="16"/>
      <c r="D155" s="17" t="s">
        <v>147</v>
      </c>
      <c r="E155" s="18">
        <f>SUM(E156)</f>
        <v>64563</v>
      </c>
    </row>
    <row r="156" spans="1:5" ht="15">
      <c r="A156" s="9"/>
      <c r="B156" s="15"/>
      <c r="C156" s="11" t="s">
        <v>188</v>
      </c>
      <c r="D156" s="12" t="s">
        <v>552</v>
      </c>
      <c r="E156" s="13">
        <v>64563</v>
      </c>
    </row>
    <row r="157" spans="1:6" ht="29.25" customHeight="1" hidden="1">
      <c r="A157" s="19"/>
      <c r="B157" s="20" t="s">
        <v>45</v>
      </c>
      <c r="C157" s="21"/>
      <c r="D157" s="132" t="s">
        <v>688</v>
      </c>
      <c r="E157" s="255"/>
      <c r="F157" s="121"/>
    </row>
    <row r="158" spans="1:5" ht="15" customHeight="1" hidden="1">
      <c r="A158" s="14"/>
      <c r="B158" s="15"/>
      <c r="C158" s="11" t="s">
        <v>254</v>
      </c>
      <c r="D158" s="12" t="s">
        <v>689</v>
      </c>
      <c r="E158" s="255"/>
    </row>
    <row r="159" spans="1:5" ht="15" customHeight="1" hidden="1">
      <c r="A159" s="14"/>
      <c r="B159" s="15"/>
      <c r="C159" s="11" t="s">
        <v>690</v>
      </c>
      <c r="D159" s="12" t="s">
        <v>35</v>
      </c>
      <c r="E159" s="255"/>
    </row>
    <row r="160" spans="1:5" ht="15" customHeight="1" hidden="1">
      <c r="A160" s="14"/>
      <c r="B160" s="15"/>
      <c r="C160" s="11" t="s">
        <v>691</v>
      </c>
      <c r="D160" s="12" t="s">
        <v>552</v>
      </c>
      <c r="E160" s="255"/>
    </row>
    <row r="161" spans="1:5" ht="15" customHeight="1" hidden="1">
      <c r="A161" s="14"/>
      <c r="B161" s="15"/>
      <c r="C161" s="184"/>
      <c r="D161" s="181" t="s">
        <v>686</v>
      </c>
      <c r="E161" s="182"/>
    </row>
    <row r="162" spans="1:5" ht="15" customHeight="1">
      <c r="A162" s="14"/>
      <c r="B162" s="15" t="s">
        <v>45</v>
      </c>
      <c r="C162" s="180"/>
      <c r="D162" s="181" t="s">
        <v>150</v>
      </c>
      <c r="E162" s="435">
        <f>SUM(E163:E165)</f>
        <v>12048</v>
      </c>
    </row>
    <row r="163" spans="1:5" ht="15" customHeight="1">
      <c r="A163" s="14"/>
      <c r="B163" s="15"/>
      <c r="C163" s="11" t="s">
        <v>1091</v>
      </c>
      <c r="D163" s="12" t="s">
        <v>689</v>
      </c>
      <c r="E163" s="13">
        <v>5162</v>
      </c>
    </row>
    <row r="164" spans="1:5" ht="15" customHeight="1">
      <c r="A164" s="14"/>
      <c r="B164" s="15"/>
      <c r="C164" s="11" t="s">
        <v>1504</v>
      </c>
      <c r="D164" s="12" t="s">
        <v>35</v>
      </c>
      <c r="E164" s="13">
        <v>1186</v>
      </c>
    </row>
    <row r="165" spans="1:5" ht="15" customHeight="1">
      <c r="A165" s="14"/>
      <c r="B165" s="15"/>
      <c r="C165" s="11" t="s">
        <v>1505</v>
      </c>
      <c r="D165" s="12" t="s">
        <v>552</v>
      </c>
      <c r="E165" s="13">
        <v>5700</v>
      </c>
    </row>
    <row r="166" spans="1:5" ht="15" customHeight="1">
      <c r="A166" s="14"/>
      <c r="B166" s="15"/>
      <c r="C166" s="180"/>
      <c r="D166" s="181" t="s">
        <v>686</v>
      </c>
      <c r="E166" s="182">
        <v>23</v>
      </c>
    </row>
    <row r="167" spans="1:5" ht="15" customHeight="1">
      <c r="A167" s="14"/>
      <c r="B167" s="15" t="s">
        <v>49</v>
      </c>
      <c r="C167" s="180"/>
      <c r="D167" s="181" t="s">
        <v>151</v>
      </c>
      <c r="E167" s="435">
        <f>SUM(E168:E170)</f>
        <v>28434</v>
      </c>
    </row>
    <row r="168" spans="1:5" ht="15" customHeight="1">
      <c r="A168" s="14"/>
      <c r="B168" s="15"/>
      <c r="C168" s="11" t="s">
        <v>287</v>
      </c>
      <c r="D168" s="12" t="s">
        <v>689</v>
      </c>
      <c r="E168" s="13">
        <v>18922</v>
      </c>
    </row>
    <row r="169" spans="1:5" ht="15" customHeight="1">
      <c r="A169" s="14"/>
      <c r="B169" s="15"/>
      <c r="C169" s="11" t="s">
        <v>1506</v>
      </c>
      <c r="D169" s="12" t="s">
        <v>35</v>
      </c>
      <c r="E169" s="13">
        <v>4907</v>
      </c>
    </row>
    <row r="170" spans="1:5" ht="15" customHeight="1">
      <c r="A170" s="14"/>
      <c r="B170" s="15"/>
      <c r="C170" s="11" t="s">
        <v>1507</v>
      </c>
      <c r="D170" s="12" t="s">
        <v>552</v>
      </c>
      <c r="E170" s="13">
        <v>4605</v>
      </c>
    </row>
    <row r="171" spans="1:5" ht="15" customHeight="1">
      <c r="A171" s="14"/>
      <c r="B171" s="15"/>
      <c r="C171" s="180"/>
      <c r="D171" s="181" t="s">
        <v>686</v>
      </c>
      <c r="E171" s="182">
        <v>7</v>
      </c>
    </row>
    <row r="172" spans="1:5" ht="15" customHeight="1">
      <c r="A172" s="14"/>
      <c r="B172" s="15" t="s">
        <v>50</v>
      </c>
      <c r="C172" s="180"/>
      <c r="D172" s="181" t="s">
        <v>569</v>
      </c>
      <c r="E172" s="435">
        <f>SUM(E173)</f>
        <v>2500</v>
      </c>
    </row>
    <row r="173" spans="1:5" ht="15" customHeight="1">
      <c r="A173" s="14"/>
      <c r="B173" s="15"/>
      <c r="C173" s="11" t="s">
        <v>517</v>
      </c>
      <c r="D173" s="12" t="s">
        <v>552</v>
      </c>
      <c r="E173" s="13">
        <v>2500</v>
      </c>
    </row>
    <row r="174" spans="1:5" ht="15" customHeight="1">
      <c r="A174" s="14"/>
      <c r="B174" s="15" t="s">
        <v>51</v>
      </c>
      <c r="C174" s="180"/>
      <c r="D174" s="181" t="s">
        <v>570</v>
      </c>
      <c r="E174" s="435">
        <f>SUM(E175)</f>
        <v>11625</v>
      </c>
    </row>
    <row r="175" spans="1:5" ht="15" customHeight="1">
      <c r="A175" s="14"/>
      <c r="B175" s="15"/>
      <c r="C175" s="11" t="s">
        <v>1508</v>
      </c>
      <c r="D175" s="12" t="s">
        <v>552</v>
      </c>
      <c r="E175" s="13">
        <v>11625</v>
      </c>
    </row>
    <row r="176" spans="1:5" ht="15" customHeight="1">
      <c r="A176" s="14"/>
      <c r="B176" s="15" t="s">
        <v>259</v>
      </c>
      <c r="C176" s="16"/>
      <c r="D176" s="17" t="s">
        <v>148</v>
      </c>
      <c r="E176" s="18">
        <f>SUM(E177)</f>
        <v>60000</v>
      </c>
    </row>
    <row r="177" spans="1:5" ht="15" customHeight="1">
      <c r="A177" s="9"/>
      <c r="B177" s="10"/>
      <c r="C177" s="11" t="s">
        <v>1509</v>
      </c>
      <c r="D177" s="12" t="s">
        <v>552</v>
      </c>
      <c r="E177" s="13">
        <v>60000</v>
      </c>
    </row>
    <row r="178" spans="1:5" ht="15" customHeight="1" hidden="1">
      <c r="A178" s="14"/>
      <c r="B178" s="15" t="s">
        <v>50</v>
      </c>
      <c r="C178" s="16"/>
      <c r="D178" s="17" t="s">
        <v>692</v>
      </c>
      <c r="E178" s="255"/>
    </row>
    <row r="179" spans="1:5" ht="15" customHeight="1" hidden="1">
      <c r="A179" s="9"/>
      <c r="B179" s="10"/>
      <c r="C179" s="11" t="s">
        <v>693</v>
      </c>
      <c r="D179" s="12" t="s">
        <v>552</v>
      </c>
      <c r="E179" s="49"/>
    </row>
    <row r="180" spans="1:5" ht="15" customHeight="1" hidden="1">
      <c r="A180" s="14"/>
      <c r="B180" s="15" t="s">
        <v>51</v>
      </c>
      <c r="C180" s="16"/>
      <c r="D180" s="17" t="s">
        <v>694</v>
      </c>
      <c r="E180" s="255"/>
    </row>
    <row r="181" spans="1:5" ht="15" customHeight="1" hidden="1">
      <c r="A181" s="9"/>
      <c r="B181" s="10"/>
      <c r="C181" s="11" t="s">
        <v>258</v>
      </c>
      <c r="D181" s="12" t="s">
        <v>251</v>
      </c>
      <c r="E181" s="49"/>
    </row>
    <row r="182" spans="1:5" ht="15" customHeight="1" hidden="1">
      <c r="A182" s="9"/>
      <c r="B182" s="10"/>
      <c r="C182" s="11" t="s">
        <v>695</v>
      </c>
      <c r="D182" s="12" t="s">
        <v>35</v>
      </c>
      <c r="E182" s="49"/>
    </row>
    <row r="183" spans="1:5" ht="15" customHeight="1" hidden="1">
      <c r="A183" s="9"/>
      <c r="B183" s="10"/>
      <c r="C183" s="11" t="s">
        <v>696</v>
      </c>
      <c r="D183" s="12" t="s">
        <v>552</v>
      </c>
      <c r="E183" s="49"/>
    </row>
    <row r="184" spans="1:5" ht="15" customHeight="1" hidden="1">
      <c r="A184" s="9"/>
      <c r="B184" s="10"/>
      <c r="C184" s="180" t="s">
        <v>697</v>
      </c>
      <c r="D184" s="181" t="s">
        <v>686</v>
      </c>
      <c r="E184" s="434"/>
    </row>
    <row r="185" spans="1:5" ht="15" customHeight="1">
      <c r="A185" s="9"/>
      <c r="B185" s="15" t="s">
        <v>308</v>
      </c>
      <c r="C185" s="180"/>
      <c r="D185" s="181" t="s">
        <v>149</v>
      </c>
      <c r="E185" s="435">
        <f>SUM(E186)</f>
        <v>31125</v>
      </c>
    </row>
    <row r="186" spans="1:5" ht="15" customHeight="1">
      <c r="A186" s="9"/>
      <c r="B186" s="10"/>
      <c r="C186" s="180" t="s">
        <v>1094</v>
      </c>
      <c r="D186" s="12" t="s">
        <v>552</v>
      </c>
      <c r="E186" s="13">
        <v>31125</v>
      </c>
    </row>
    <row r="187" spans="1:5" ht="15" customHeight="1" hidden="1">
      <c r="A187" s="14"/>
      <c r="B187" s="15" t="s">
        <v>259</v>
      </c>
      <c r="C187" s="16"/>
      <c r="D187" s="17" t="s">
        <v>698</v>
      </c>
      <c r="E187" s="255"/>
    </row>
    <row r="188" spans="1:5" ht="15" customHeight="1" hidden="1">
      <c r="A188" s="9"/>
      <c r="B188" s="10"/>
      <c r="C188" s="11" t="s">
        <v>699</v>
      </c>
      <c r="D188" s="12" t="s">
        <v>552</v>
      </c>
      <c r="E188" s="49"/>
    </row>
    <row r="189" spans="1:5" ht="27.75" customHeight="1">
      <c r="A189" s="14"/>
      <c r="B189" s="15" t="s">
        <v>701</v>
      </c>
      <c r="C189" s="16"/>
      <c r="D189" s="133" t="s">
        <v>1017</v>
      </c>
      <c r="E189" s="18">
        <f>SUM(E190:E192)</f>
        <v>4674</v>
      </c>
    </row>
    <row r="190" spans="1:5" ht="15" customHeight="1">
      <c r="A190" s="9"/>
      <c r="B190" s="10"/>
      <c r="C190" s="11" t="s">
        <v>1511</v>
      </c>
      <c r="D190" s="12" t="s">
        <v>251</v>
      </c>
      <c r="E190" s="13">
        <v>720</v>
      </c>
    </row>
    <row r="191" spans="1:5" ht="15" customHeight="1">
      <c r="A191" s="9"/>
      <c r="B191" s="10"/>
      <c r="C191" s="11" t="s">
        <v>1512</v>
      </c>
      <c r="D191" s="12" t="s">
        <v>35</v>
      </c>
      <c r="E191" s="13">
        <v>194</v>
      </c>
    </row>
    <row r="192" spans="1:5" ht="15" customHeight="1">
      <c r="A192" s="9"/>
      <c r="B192" s="10"/>
      <c r="C192" s="11" t="s">
        <v>1513</v>
      </c>
      <c r="D192" s="12" t="s">
        <v>552</v>
      </c>
      <c r="E192" s="13">
        <v>3760</v>
      </c>
    </row>
    <row r="193" spans="1:5" ht="28.5" hidden="1">
      <c r="A193" s="122"/>
      <c r="B193" s="123" t="s">
        <v>701</v>
      </c>
      <c r="C193" s="125"/>
      <c r="D193" s="126" t="s">
        <v>505</v>
      </c>
      <c r="E193" s="127"/>
    </row>
    <row r="194" spans="1:8" ht="20.25">
      <c r="A194" s="1123" t="s">
        <v>525</v>
      </c>
      <c r="B194" s="1124"/>
      <c r="C194" s="1124"/>
      <c r="D194" s="1124"/>
      <c r="E194" s="1185"/>
      <c r="H194"/>
    </row>
    <row r="195" spans="1:15" ht="15.75">
      <c r="A195" s="4"/>
      <c r="B195" s="20" t="s">
        <v>16</v>
      </c>
      <c r="C195" s="21"/>
      <c r="D195" s="22" t="s">
        <v>251</v>
      </c>
      <c r="E195" s="23">
        <f>SUM(E151+E163+E168+E190)</f>
        <v>29484</v>
      </c>
      <c r="G195" t="s">
        <v>347</v>
      </c>
      <c r="H195" s="25" t="e">
        <f>SUM(#REF!,#REF!,#REF!,#REF!,#REF!)</f>
        <v>#REF!</v>
      </c>
      <c r="I195" s="25" t="e">
        <f>SUM(#REF!,#REF!,#REF!,#REF!,#REF!)</f>
        <v>#REF!</v>
      </c>
      <c r="K195" s="246"/>
      <c r="L195" s="729"/>
      <c r="M195" s="729" t="s">
        <v>1226</v>
      </c>
      <c r="N195" s="729" t="s">
        <v>1227</v>
      </c>
      <c r="O195" s="729" t="s">
        <v>12</v>
      </c>
    </row>
    <row r="196" spans="1:15" ht="15.75">
      <c r="A196" s="9"/>
      <c r="B196" s="15" t="s">
        <v>17</v>
      </c>
      <c r="C196" s="16"/>
      <c r="D196" s="17" t="s">
        <v>35</v>
      </c>
      <c r="E196" s="18">
        <f>SUM(E152+E164+E169+E191)</f>
        <v>7551</v>
      </c>
      <c r="G196" t="s">
        <v>349</v>
      </c>
      <c r="H196" s="25">
        <v>4000</v>
      </c>
      <c r="I196" s="25"/>
      <c r="J196" t="s">
        <v>350</v>
      </c>
      <c r="K196" s="246"/>
      <c r="L196" s="246"/>
      <c r="M196" s="246"/>
      <c r="N196" s="246"/>
      <c r="O196" s="246"/>
    </row>
    <row r="197" spans="1:15" ht="15.75">
      <c r="A197" s="9"/>
      <c r="B197" s="15" t="s">
        <v>36</v>
      </c>
      <c r="C197" s="16"/>
      <c r="D197" s="17" t="s">
        <v>552</v>
      </c>
      <c r="E197" s="18">
        <f>SUM(E153+E156+E165+E170+E173+E175+E177+E186+E192)</f>
        <v>354241</v>
      </c>
      <c r="G197" t="s">
        <v>351</v>
      </c>
      <c r="I197" s="25">
        <v>30062</v>
      </c>
      <c r="K197" s="246"/>
      <c r="L197" s="246" t="s">
        <v>1126</v>
      </c>
      <c r="M197" s="730" t="e">
        <f>SUM(#REF!+#REF!)</f>
        <v>#REF!</v>
      </c>
      <c r="N197" s="730">
        <f>SUM(E195+E4)</f>
        <v>432191</v>
      </c>
      <c r="O197" s="731"/>
    </row>
    <row r="198" spans="1:15" ht="19.5" customHeight="1">
      <c r="A198" s="1073" t="s">
        <v>511</v>
      </c>
      <c r="B198" s="1074"/>
      <c r="C198" s="1074"/>
      <c r="D198" s="1075"/>
      <c r="E198" s="230">
        <f>SUM(E195:E197)</f>
        <v>391276</v>
      </c>
      <c r="F198" s="217"/>
      <c r="G198" s="217"/>
      <c r="H198" s="217"/>
      <c r="K198" s="246"/>
      <c r="L198" s="246" t="s">
        <v>1127</v>
      </c>
      <c r="M198" s="730" t="e">
        <f>SUM(#REF!+#REF!)</f>
        <v>#REF!</v>
      </c>
      <c r="N198" s="730">
        <f>SUM(E196+E7)</f>
        <v>112107</v>
      </c>
      <c r="O198" s="731"/>
    </row>
    <row r="199" spans="1:15" s="213" customFormat="1" ht="16.5">
      <c r="A199" s="224"/>
      <c r="B199" s="34"/>
      <c r="C199" s="74" t="s">
        <v>20</v>
      </c>
      <c r="D199" s="35" t="s">
        <v>53</v>
      </c>
      <c r="E199" s="32">
        <f>SUM('5.sz.melléklet'!G16)</f>
        <v>0</v>
      </c>
      <c r="K199" s="246"/>
      <c r="L199" s="246" t="s">
        <v>1128</v>
      </c>
      <c r="M199" s="730" t="e">
        <f>SUM(#REF!+#REF!)</f>
        <v>#REF!</v>
      </c>
      <c r="N199" s="730">
        <f>SUM(E197+E13)</f>
        <v>603744</v>
      </c>
      <c r="O199" s="731"/>
    </row>
    <row r="200" spans="1:5" s="213" customFormat="1" ht="16.5">
      <c r="A200" s="224"/>
      <c r="B200" s="34"/>
      <c r="C200" s="74" t="s">
        <v>44</v>
      </c>
      <c r="D200" s="35" t="s">
        <v>52</v>
      </c>
      <c r="E200" s="32">
        <f>SUM('6.sz.melléklet '!H116)</f>
        <v>50100</v>
      </c>
    </row>
    <row r="201" spans="1:8" ht="19.5" customHeight="1">
      <c r="A201" s="1073" t="s">
        <v>524</v>
      </c>
      <c r="B201" s="1074"/>
      <c r="C201" s="1074"/>
      <c r="D201" s="1075"/>
      <c r="E201" s="216">
        <f>E199+E200</f>
        <v>50100</v>
      </c>
      <c r="F201" s="217"/>
      <c r="G201" s="217"/>
      <c r="H201" s="217"/>
    </row>
    <row r="202" spans="1:5" s="213" customFormat="1" ht="16.5">
      <c r="A202" s="224"/>
      <c r="B202" s="34"/>
      <c r="C202" s="74"/>
      <c r="D202" s="35" t="s">
        <v>34</v>
      </c>
      <c r="E202" s="32"/>
    </row>
    <row r="203" spans="1:9" ht="21.75" customHeight="1">
      <c r="A203" s="36"/>
      <c r="B203" s="37"/>
      <c r="C203" s="38"/>
      <c r="D203" s="39" t="s">
        <v>710</v>
      </c>
      <c r="E203" s="147">
        <f>E198+E147+E119</f>
        <v>2408673</v>
      </c>
      <c r="H203" s="25" t="s">
        <v>8</v>
      </c>
      <c r="I203" s="200" t="e">
        <f>SUM(#REF!,#REF!,#REF!)</f>
        <v>#REF!</v>
      </c>
    </row>
    <row r="204" spans="1:5" ht="18.75">
      <c r="A204" s="451" t="s">
        <v>419</v>
      </c>
      <c r="B204" s="184"/>
      <c r="C204" s="184"/>
      <c r="D204" s="106"/>
      <c r="E204" s="13">
        <f>SUM('3c.szmelléklet'!J416)</f>
        <v>20000</v>
      </c>
    </row>
    <row r="205" spans="1:5" ht="21" customHeight="1">
      <c r="A205" s="450" t="s">
        <v>420</v>
      </c>
      <c r="B205" s="446"/>
      <c r="C205" s="447"/>
      <c r="D205" s="448"/>
      <c r="E205" s="449">
        <f>SUM(E203-E204)</f>
        <v>2388673</v>
      </c>
    </row>
  </sheetData>
  <sheetProtection/>
  <mergeCells count="18">
    <mergeCell ref="A132:D132"/>
    <mergeCell ref="A149:D149"/>
    <mergeCell ref="A198:D198"/>
    <mergeCell ref="A201:D201"/>
    <mergeCell ref="A135:D135"/>
    <mergeCell ref="A136:D136"/>
    <mergeCell ref="A146:D146"/>
    <mergeCell ref="A147:D147"/>
    <mergeCell ref="A148:E148"/>
    <mergeCell ref="A194:E194"/>
    <mergeCell ref="A118:D118"/>
    <mergeCell ref="A119:D119"/>
    <mergeCell ref="A1:C1"/>
    <mergeCell ref="A3:D3"/>
    <mergeCell ref="A104:D104"/>
    <mergeCell ref="A108:D108"/>
    <mergeCell ref="A2:E2"/>
    <mergeCell ref="A109:D109"/>
  </mergeCells>
  <printOptions horizontalCentered="1"/>
  <pageMargins left="0.1968503937007874" right="0.1968503937007874" top="1.1023622047244095" bottom="0.5118110236220472" header="0.35433070866141736" footer="0.2362204724409449"/>
  <pageSetup firstPageNumber="42" useFirstPageNumber="1" horizontalDpi="600" verticalDpi="600" orientation="portrait" paperSize="9" scale="98" r:id="rId1"/>
  <headerFooter alignWithMargins="0">
    <oddHeader>&amp;C&amp;"Times New Roman,Félkövér"&amp;14
Vecsés Város Önkormányzat Polgármesteri Hivatalának 2011. évi kiadásai 
&amp;R3/b. sz. melléklet
ezer Ft</oddHeader>
    <oddFooter>&amp;C- &amp;P -</oddFooter>
  </headerFooter>
  <rowBreaks count="3" manualBreakCount="3">
    <brk id="40" max="4" man="1"/>
    <brk id="97" max="4" man="1"/>
    <brk id="14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30"/>
  <sheetViews>
    <sheetView view="pageBreakPreview" zoomScale="110" zoomScaleNormal="110" zoomScaleSheetLayoutView="110" zoomScalePageLayoutView="0" workbookViewId="0" topLeftCell="A395">
      <selection activeCell="E420" sqref="E420"/>
    </sheetView>
  </sheetViews>
  <sheetFormatPr defaultColWidth="9.140625" defaultRowHeight="12.75"/>
  <cols>
    <col min="1" max="1" width="2.140625" style="0" customWidth="1"/>
    <col min="2" max="2" width="2.57421875" style="0" customWidth="1"/>
    <col min="3" max="3" width="7.7109375" style="155" customWidth="1"/>
    <col min="4" max="4" width="49.57421875" style="0" customWidth="1"/>
    <col min="5" max="5" width="16.8515625" style="25" customWidth="1"/>
    <col min="6" max="6" width="48.140625" style="0" customWidth="1"/>
    <col min="7" max="7" width="10.140625" style="0" hidden="1" customWidth="1"/>
    <col min="8" max="8" width="12.140625" style="0" hidden="1" customWidth="1"/>
    <col min="9" max="10" width="12.140625" style="0" customWidth="1"/>
    <col min="11" max="11" width="9.8515625" style="0" customWidth="1"/>
    <col min="12" max="12" width="10.8515625" style="0" customWidth="1"/>
    <col min="13" max="13" width="11.8515625" style="0" customWidth="1"/>
    <col min="14" max="14" width="12.57421875" style="262" customWidth="1"/>
  </cols>
  <sheetData>
    <row r="1" spans="1:5" ht="62.25" customHeight="1">
      <c r="A1" s="1132" t="s">
        <v>9</v>
      </c>
      <c r="B1" s="1132"/>
      <c r="C1" s="1132"/>
      <c r="D1" s="59" t="s">
        <v>1383</v>
      </c>
      <c r="E1" s="204" t="s">
        <v>1133</v>
      </c>
    </row>
    <row r="2" spans="1:5" ht="3" customHeight="1" thickBot="1">
      <c r="A2" s="60"/>
      <c r="B2" s="60"/>
      <c r="C2" s="148"/>
      <c r="D2" s="61"/>
      <c r="E2" s="62"/>
    </row>
    <row r="3" spans="1:5" ht="18" thickBot="1" thickTop="1">
      <c r="A3" s="63" t="s">
        <v>238</v>
      </c>
      <c r="B3" s="64"/>
      <c r="C3" s="201"/>
      <c r="D3" s="1131" t="s">
        <v>1101</v>
      </c>
      <c r="E3" s="1140"/>
    </row>
    <row r="4" spans="1:5" ht="22.5" customHeight="1" thickTop="1">
      <c r="A4" s="1194"/>
      <c r="B4" s="1195"/>
      <c r="C4" s="1196"/>
      <c r="D4" s="1197" t="s">
        <v>239</v>
      </c>
      <c r="E4" s="1198"/>
    </row>
    <row r="5" spans="1:5" ht="15" customHeight="1">
      <c r="A5" s="66"/>
      <c r="B5" s="65" t="s">
        <v>14</v>
      </c>
      <c r="C5" s="10"/>
      <c r="D5" s="1128" t="s">
        <v>240</v>
      </c>
      <c r="E5" s="1136"/>
    </row>
    <row r="6" spans="1:5" ht="15" customHeight="1">
      <c r="A6" s="66"/>
      <c r="B6" s="68"/>
      <c r="C6" s="10" t="s">
        <v>16</v>
      </c>
      <c r="D6" s="12" t="s">
        <v>623</v>
      </c>
      <c r="E6" s="13">
        <f>SUM(E7:E10)</f>
        <v>3704</v>
      </c>
    </row>
    <row r="7" spans="1:5" ht="15" customHeight="1">
      <c r="A7" s="66"/>
      <c r="B7" s="68"/>
      <c r="C7" s="10" t="s">
        <v>54</v>
      </c>
      <c r="D7" s="193" t="s">
        <v>241</v>
      </c>
      <c r="E7" s="13">
        <v>2525</v>
      </c>
    </row>
    <row r="8" spans="1:5" ht="15" customHeight="1">
      <c r="A8" s="66"/>
      <c r="B8" s="68"/>
      <c r="C8" s="10" t="s">
        <v>55</v>
      </c>
      <c r="D8" s="193" t="s">
        <v>242</v>
      </c>
      <c r="E8" s="13">
        <v>241</v>
      </c>
    </row>
    <row r="9" spans="1:5" ht="15" customHeight="1">
      <c r="A9" s="66"/>
      <c r="B9" s="68"/>
      <c r="C9" s="10" t="s">
        <v>302</v>
      </c>
      <c r="D9" s="193" t="s">
        <v>411</v>
      </c>
      <c r="E9" s="13">
        <v>197</v>
      </c>
    </row>
    <row r="10" spans="1:5" ht="15" customHeight="1">
      <c r="A10" s="66"/>
      <c r="B10" s="68"/>
      <c r="C10" s="10" t="s">
        <v>303</v>
      </c>
      <c r="D10" s="193" t="s">
        <v>184</v>
      </c>
      <c r="E10" s="13">
        <v>741</v>
      </c>
    </row>
    <row r="11" spans="1:5" ht="15" customHeight="1">
      <c r="A11" s="66"/>
      <c r="B11" s="68"/>
      <c r="C11" s="10" t="s">
        <v>17</v>
      </c>
      <c r="D11" s="12" t="s">
        <v>1209</v>
      </c>
      <c r="E11" s="13"/>
    </row>
    <row r="12" spans="1:5" ht="15" customHeight="1">
      <c r="A12" s="66"/>
      <c r="B12" s="68"/>
      <c r="C12" s="10" t="s">
        <v>36</v>
      </c>
      <c r="D12" s="12" t="s">
        <v>243</v>
      </c>
      <c r="E12" s="13">
        <f>SUM(E13+E17)</f>
        <v>138809</v>
      </c>
    </row>
    <row r="13" spans="1:5" ht="15" customHeight="1">
      <c r="A13" s="66"/>
      <c r="B13" s="68"/>
      <c r="C13" s="10" t="s">
        <v>124</v>
      </c>
      <c r="D13" s="47" t="s">
        <v>244</v>
      </c>
      <c r="E13" s="48">
        <f>SUM(E14+E16)</f>
        <v>138809</v>
      </c>
    </row>
    <row r="14" spans="1:5" ht="15" customHeight="1">
      <c r="A14" s="66"/>
      <c r="B14" s="68"/>
      <c r="C14" s="10" t="s">
        <v>72</v>
      </c>
      <c r="D14" s="12" t="s">
        <v>245</v>
      </c>
      <c r="E14" s="13">
        <v>89162</v>
      </c>
    </row>
    <row r="15" spans="1:5" ht="15" customHeight="1">
      <c r="A15" s="66"/>
      <c r="B15" s="68"/>
      <c r="C15" s="10" t="s">
        <v>624</v>
      </c>
      <c r="D15" s="47" t="s">
        <v>176</v>
      </c>
      <c r="E15" s="48">
        <v>10280</v>
      </c>
    </row>
    <row r="16" spans="1:8" ht="15" customHeight="1">
      <c r="A16" s="66"/>
      <c r="B16" s="68"/>
      <c r="C16" s="10" t="s">
        <v>1464</v>
      </c>
      <c r="D16" s="12" t="s">
        <v>246</v>
      </c>
      <c r="E16" s="13">
        <v>49647</v>
      </c>
      <c r="F16" s="25"/>
      <c r="G16" s="25" t="e">
        <f>SUM(#REF!-#REF!)</f>
        <v>#REF!</v>
      </c>
      <c r="H16" s="25"/>
    </row>
    <row r="17" spans="1:9" ht="15" customHeight="1">
      <c r="A17" s="66"/>
      <c r="B17" s="68"/>
      <c r="C17" s="10" t="s">
        <v>125</v>
      </c>
      <c r="D17" s="12" t="s">
        <v>247</v>
      </c>
      <c r="E17" s="13"/>
      <c r="H17" s="25" t="e">
        <f>SUM(#REF!-#REF!)</f>
        <v>#REF!</v>
      </c>
      <c r="I17" s="25">
        <f>SUM(E36-E18)</f>
        <v>0</v>
      </c>
    </row>
    <row r="18" spans="1:5" ht="15" customHeight="1">
      <c r="A18" s="66"/>
      <c r="B18" s="68"/>
      <c r="C18" s="10"/>
      <c r="D18" s="69" t="s">
        <v>248</v>
      </c>
      <c r="E18" s="41">
        <f>SUM(E12+E6+E11)</f>
        <v>142513</v>
      </c>
    </row>
    <row r="19" spans="1:5" ht="15" customHeight="1">
      <c r="A19" s="66"/>
      <c r="B19" s="68"/>
      <c r="C19" s="11"/>
      <c r="D19" s="70" t="s">
        <v>249</v>
      </c>
      <c r="E19" s="71">
        <f>SUM(E15)</f>
        <v>10280</v>
      </c>
    </row>
    <row r="20" spans="1:5" ht="15" customHeight="1">
      <c r="A20" s="66"/>
      <c r="B20" s="65" t="s">
        <v>19</v>
      </c>
      <c r="C20" s="11"/>
      <c r="D20" s="1128" t="s">
        <v>250</v>
      </c>
      <c r="E20" s="1136"/>
    </row>
    <row r="21" spans="1:14" s="115" customFormat="1" ht="15" customHeight="1">
      <c r="A21" s="33"/>
      <c r="B21" s="65"/>
      <c r="C21" s="198" t="s">
        <v>20</v>
      </c>
      <c r="D21" s="12" t="s">
        <v>251</v>
      </c>
      <c r="E21" s="13">
        <v>95796</v>
      </c>
      <c r="N21" s="263"/>
    </row>
    <row r="22" spans="1:5" ht="15" customHeight="1">
      <c r="A22" s="66"/>
      <c r="B22" s="68"/>
      <c r="C22" s="11" t="s">
        <v>144</v>
      </c>
      <c r="D22" s="194" t="s">
        <v>252</v>
      </c>
      <c r="E22" s="48">
        <v>5967</v>
      </c>
    </row>
    <row r="23" spans="1:6" ht="15" customHeight="1">
      <c r="A23" s="66"/>
      <c r="B23" s="68"/>
      <c r="C23" s="198" t="s">
        <v>44</v>
      </c>
      <c r="D23" s="12" t="s">
        <v>35</v>
      </c>
      <c r="E23" s="13">
        <v>25000</v>
      </c>
      <c r="F23" s="25"/>
    </row>
    <row r="24" spans="1:5" ht="15" customHeight="1">
      <c r="A24" s="66"/>
      <c r="B24" s="68"/>
      <c r="C24" s="11" t="s">
        <v>188</v>
      </c>
      <c r="D24" s="194" t="s">
        <v>252</v>
      </c>
      <c r="E24" s="48">
        <v>1628</v>
      </c>
    </row>
    <row r="25" spans="1:6" ht="15" customHeight="1">
      <c r="A25" s="66"/>
      <c r="B25" s="68"/>
      <c r="C25" s="198" t="s">
        <v>45</v>
      </c>
      <c r="D25" s="12" t="s">
        <v>253</v>
      </c>
      <c r="E25" s="13">
        <v>21717</v>
      </c>
      <c r="F25" s="25"/>
    </row>
    <row r="26" spans="1:8" ht="15" customHeight="1">
      <c r="A26" s="66"/>
      <c r="B26" s="68"/>
      <c r="C26" s="11" t="s">
        <v>254</v>
      </c>
      <c r="D26" s="194" t="s">
        <v>252</v>
      </c>
      <c r="E26" s="48">
        <v>2685</v>
      </c>
      <c r="F26" s="25"/>
      <c r="G26" s="25"/>
      <c r="H26" s="25"/>
    </row>
    <row r="27" spans="1:14" s="115" customFormat="1" ht="15" customHeight="1" hidden="1">
      <c r="A27" s="33"/>
      <c r="B27" s="65"/>
      <c r="C27" s="11" t="s">
        <v>254</v>
      </c>
      <c r="D27" s="17" t="s">
        <v>1460</v>
      </c>
      <c r="E27" s="18"/>
      <c r="N27" s="263"/>
    </row>
    <row r="28" spans="1:5" ht="15" customHeight="1" hidden="1">
      <c r="A28" s="66"/>
      <c r="B28" s="68"/>
      <c r="C28" s="11" t="s">
        <v>254</v>
      </c>
      <c r="D28" s="193" t="s">
        <v>251</v>
      </c>
      <c r="E28" s="13"/>
    </row>
    <row r="29" spans="1:5" ht="15" customHeight="1" hidden="1">
      <c r="A29" s="66"/>
      <c r="B29" s="68"/>
      <c r="C29" s="11" t="s">
        <v>254</v>
      </c>
      <c r="D29" s="193" t="s">
        <v>35</v>
      </c>
      <c r="E29" s="13"/>
    </row>
    <row r="30" spans="1:5" ht="15" customHeight="1" hidden="1">
      <c r="A30" s="66"/>
      <c r="B30" s="68"/>
      <c r="C30" s="11" t="s">
        <v>254</v>
      </c>
      <c r="D30" s="193" t="s">
        <v>253</v>
      </c>
      <c r="E30" s="13"/>
    </row>
    <row r="31" spans="1:5" ht="15" customHeight="1" hidden="1">
      <c r="A31" s="66"/>
      <c r="B31" s="68"/>
      <c r="C31" s="11" t="s">
        <v>254</v>
      </c>
      <c r="D31" s="194" t="s">
        <v>252</v>
      </c>
      <c r="E31" s="13"/>
    </row>
    <row r="32" spans="1:14" s="115" customFormat="1" ht="15" customHeight="1">
      <c r="A32" s="33"/>
      <c r="B32" s="65"/>
      <c r="C32" s="11" t="s">
        <v>46</v>
      </c>
      <c r="D32" s="12" t="s">
        <v>256</v>
      </c>
      <c r="E32" s="12"/>
      <c r="N32" s="263"/>
    </row>
    <row r="33" spans="1:14" s="115" customFormat="1" ht="15" customHeight="1">
      <c r="A33" s="33"/>
      <c r="B33" s="65"/>
      <c r="C33" s="11" t="s">
        <v>1108</v>
      </c>
      <c r="D33" s="12" t="s">
        <v>257</v>
      </c>
      <c r="E33" s="12"/>
      <c r="N33" s="263"/>
    </row>
    <row r="34" spans="1:5" ht="15" customHeight="1" hidden="1">
      <c r="A34" s="66"/>
      <c r="B34" s="68"/>
      <c r="C34" s="11" t="s">
        <v>693</v>
      </c>
      <c r="D34" s="194" t="s">
        <v>249</v>
      </c>
      <c r="E34" s="13"/>
    </row>
    <row r="35" spans="1:14" s="115" customFormat="1" ht="15" customHeight="1">
      <c r="A35" s="33"/>
      <c r="B35" s="65"/>
      <c r="C35" s="11" t="s">
        <v>51</v>
      </c>
      <c r="D35" s="12" t="s">
        <v>260</v>
      </c>
      <c r="E35" s="12"/>
      <c r="N35" s="263"/>
    </row>
    <row r="36" spans="1:5" ht="15" customHeight="1">
      <c r="A36" s="66"/>
      <c r="B36" s="68"/>
      <c r="C36" s="11"/>
      <c r="D36" s="72" t="s">
        <v>261</v>
      </c>
      <c r="E36" s="41">
        <f>SUM(E21+E23+E25+E32+E33+E35)</f>
        <v>142513</v>
      </c>
    </row>
    <row r="37" spans="1:5" ht="15" customHeight="1">
      <c r="A37" s="66"/>
      <c r="B37" s="68"/>
      <c r="C37" s="11"/>
      <c r="D37" s="73" t="s">
        <v>262</v>
      </c>
      <c r="E37" s="71">
        <f>SUM(E22+E24+E26)</f>
        <v>10280</v>
      </c>
    </row>
    <row r="38" spans="1:5" ht="15" customHeight="1">
      <c r="A38" s="66"/>
      <c r="B38" s="65" t="s">
        <v>22</v>
      </c>
      <c r="C38" s="16"/>
      <c r="D38" s="75" t="s">
        <v>263</v>
      </c>
      <c r="E38" s="85">
        <v>43</v>
      </c>
    </row>
    <row r="39" spans="1:5" ht="15" customHeight="1">
      <c r="A39" s="77"/>
      <c r="B39" s="78"/>
      <c r="C39" s="11"/>
      <c r="D39" s="1130" t="s">
        <v>1067</v>
      </c>
      <c r="E39" s="1199"/>
    </row>
    <row r="40" spans="1:5" ht="15" customHeight="1">
      <c r="A40" s="66"/>
      <c r="B40" s="65" t="s">
        <v>14</v>
      </c>
      <c r="C40" s="10"/>
      <c r="D40" s="1128" t="s">
        <v>240</v>
      </c>
      <c r="E40" s="1136"/>
    </row>
    <row r="41" spans="1:5" ht="15" customHeight="1">
      <c r="A41" s="66"/>
      <c r="B41" s="68"/>
      <c r="C41" s="10" t="s">
        <v>16</v>
      </c>
      <c r="D41" s="12" t="s">
        <v>623</v>
      </c>
      <c r="E41" s="13">
        <f>SUM(E42:E43)</f>
        <v>0</v>
      </c>
    </row>
    <row r="42" spans="1:5" ht="15" customHeight="1">
      <c r="A42" s="66"/>
      <c r="B42" s="68"/>
      <c r="C42" s="10"/>
      <c r="D42" s="193" t="s">
        <v>264</v>
      </c>
      <c r="E42" s="13"/>
    </row>
    <row r="43" spans="1:5" ht="15" customHeight="1">
      <c r="A43" s="66"/>
      <c r="B43" s="68"/>
      <c r="C43" s="10"/>
      <c r="D43" s="193" t="s">
        <v>265</v>
      </c>
      <c r="E43" s="13"/>
    </row>
    <row r="44" spans="1:5" ht="15" customHeight="1">
      <c r="A44" s="66"/>
      <c r="B44" s="68"/>
      <c r="C44" s="10" t="s">
        <v>17</v>
      </c>
      <c r="D44" s="12" t="s">
        <v>1209</v>
      </c>
      <c r="E44" s="13"/>
    </row>
    <row r="45" spans="1:5" ht="15" customHeight="1">
      <c r="A45" s="66"/>
      <c r="B45" s="68"/>
      <c r="C45" s="10" t="s">
        <v>36</v>
      </c>
      <c r="D45" s="12" t="s">
        <v>243</v>
      </c>
      <c r="E45" s="13">
        <f>SUM(E46+E49)</f>
        <v>89769</v>
      </c>
    </row>
    <row r="46" spans="1:14" s="52" customFormat="1" ht="15" customHeight="1">
      <c r="A46" s="174"/>
      <c r="B46" s="175"/>
      <c r="C46" s="51" t="s">
        <v>124</v>
      </c>
      <c r="D46" s="47" t="s">
        <v>244</v>
      </c>
      <c r="E46" s="48">
        <f>SUM(E47:E48)</f>
        <v>89769</v>
      </c>
      <c r="N46" s="264"/>
    </row>
    <row r="47" spans="1:5" ht="15" customHeight="1">
      <c r="A47" s="66"/>
      <c r="B47" s="68"/>
      <c r="C47" s="10" t="s">
        <v>72</v>
      </c>
      <c r="D47" s="12" t="s">
        <v>245</v>
      </c>
      <c r="E47" s="13">
        <v>67594</v>
      </c>
    </row>
    <row r="48" spans="1:9" ht="15" customHeight="1">
      <c r="A48" s="66"/>
      <c r="B48" s="68"/>
      <c r="C48" s="10" t="s">
        <v>1464</v>
      </c>
      <c r="D48" s="12" t="s">
        <v>246</v>
      </c>
      <c r="E48" s="13">
        <v>22175</v>
      </c>
      <c r="I48" s="25">
        <f>SUM(E60-E50)</f>
        <v>0</v>
      </c>
    </row>
    <row r="49" spans="1:5" ht="15" customHeight="1">
      <c r="A49" s="66"/>
      <c r="B49" s="68"/>
      <c r="C49" s="10" t="s">
        <v>125</v>
      </c>
      <c r="D49" s="12" t="s">
        <v>247</v>
      </c>
      <c r="E49" s="13"/>
    </row>
    <row r="50" spans="1:5" ht="15" customHeight="1">
      <c r="A50" s="66"/>
      <c r="B50" s="68"/>
      <c r="C50" s="10"/>
      <c r="D50" s="69" t="s">
        <v>248</v>
      </c>
      <c r="E50" s="41">
        <f>SUM(E41+E45+E44)</f>
        <v>89769</v>
      </c>
    </row>
    <row r="51" spans="1:5" ht="15" customHeight="1">
      <c r="A51" s="66"/>
      <c r="B51" s="65" t="s">
        <v>19</v>
      </c>
      <c r="C51" s="11"/>
      <c r="D51" s="1128" t="s">
        <v>250</v>
      </c>
      <c r="E51" s="1136"/>
    </row>
    <row r="52" spans="1:5" ht="15" customHeight="1">
      <c r="A52" s="66"/>
      <c r="B52" s="68"/>
      <c r="C52" s="11" t="s">
        <v>20</v>
      </c>
      <c r="D52" s="12" t="s">
        <v>251</v>
      </c>
      <c r="E52" s="13">
        <v>59852</v>
      </c>
    </row>
    <row r="53" spans="1:5" ht="15" customHeight="1" hidden="1">
      <c r="A53" s="66"/>
      <c r="B53" s="68"/>
      <c r="C53" s="155" t="s">
        <v>1459</v>
      </c>
      <c r="D53" s="12" t="s">
        <v>252</v>
      </c>
      <c r="E53" s="13"/>
    </row>
    <row r="54" spans="1:5" ht="15" customHeight="1">
      <c r="A54" s="66"/>
      <c r="B54" s="68"/>
      <c r="C54" s="11" t="s">
        <v>1210</v>
      </c>
      <c r="D54" s="12" t="s">
        <v>35</v>
      </c>
      <c r="E54" s="13">
        <v>15702</v>
      </c>
    </row>
    <row r="55" spans="1:5" ht="15" customHeight="1" hidden="1">
      <c r="A55" s="66"/>
      <c r="B55" s="68"/>
      <c r="C55" s="11" t="s">
        <v>195</v>
      </c>
      <c r="D55" s="12" t="s">
        <v>252</v>
      </c>
      <c r="E55" s="13"/>
    </row>
    <row r="56" spans="1:5" ht="15" customHeight="1">
      <c r="A56" s="66"/>
      <c r="B56" s="68"/>
      <c r="C56" s="11" t="s">
        <v>45</v>
      </c>
      <c r="D56" s="12" t="s">
        <v>253</v>
      </c>
      <c r="E56" s="13">
        <v>14215</v>
      </c>
    </row>
    <row r="57" spans="1:14" s="115" customFormat="1" ht="15" customHeight="1">
      <c r="A57" s="33"/>
      <c r="B57" s="65"/>
      <c r="C57" s="11" t="s">
        <v>46</v>
      </c>
      <c r="D57" s="12" t="s">
        <v>256</v>
      </c>
      <c r="E57" s="12"/>
      <c r="N57" s="263"/>
    </row>
    <row r="58" spans="1:14" s="115" customFormat="1" ht="15" customHeight="1">
      <c r="A58" s="33"/>
      <c r="B58" s="65"/>
      <c r="C58" s="11" t="s">
        <v>1108</v>
      </c>
      <c r="D58" s="12" t="s">
        <v>257</v>
      </c>
      <c r="E58" s="12"/>
      <c r="N58" s="263"/>
    </row>
    <row r="59" spans="1:14" s="115" customFormat="1" ht="15" customHeight="1">
      <c r="A59" s="33"/>
      <c r="B59" s="65"/>
      <c r="C59" s="11" t="s">
        <v>305</v>
      </c>
      <c r="D59" s="12" t="s">
        <v>260</v>
      </c>
      <c r="E59" s="12"/>
      <c r="N59" s="263"/>
    </row>
    <row r="60" spans="1:8" ht="15" customHeight="1">
      <c r="A60" s="66"/>
      <c r="B60" s="68"/>
      <c r="C60" s="11"/>
      <c r="D60" s="72" t="s">
        <v>261</v>
      </c>
      <c r="E60" s="41">
        <f>SUM(E52:E59)-E53-E55</f>
        <v>89769</v>
      </c>
      <c r="F60" s="25"/>
      <c r="G60" s="25" t="e">
        <f>SUM(#REF!-#REF!)</f>
        <v>#REF!</v>
      </c>
      <c r="H60" s="25" t="e">
        <f>SUM(#REF!-#REF!)</f>
        <v>#REF!</v>
      </c>
    </row>
    <row r="61" spans="1:5" ht="15" customHeight="1">
      <c r="A61" s="66"/>
      <c r="B61" s="68"/>
      <c r="C61" s="11"/>
      <c r="D61" s="72" t="s">
        <v>262</v>
      </c>
      <c r="E61" s="41"/>
    </row>
    <row r="62" spans="1:5" ht="15" customHeight="1">
      <c r="A62" s="66"/>
      <c r="B62" s="65" t="s">
        <v>22</v>
      </c>
      <c r="C62" s="16"/>
      <c r="D62" s="75" t="s">
        <v>266</v>
      </c>
      <c r="E62" s="76">
        <v>23</v>
      </c>
    </row>
    <row r="63" spans="1:5" ht="30.75" customHeight="1">
      <c r="A63" s="1133" t="s">
        <v>1065</v>
      </c>
      <c r="B63" s="1134"/>
      <c r="C63" s="1134"/>
      <c r="D63" s="1135"/>
      <c r="E63" s="41">
        <f>SUM(E50+E18)</f>
        <v>232282</v>
      </c>
    </row>
    <row r="64" spans="1:5" ht="17.25" customHeight="1">
      <c r="A64" s="80"/>
      <c r="B64" s="81"/>
      <c r="C64" s="93"/>
      <c r="D64" s="82" t="s">
        <v>267</v>
      </c>
      <c r="E64" s="71">
        <f>SUM(E19)</f>
        <v>10280</v>
      </c>
    </row>
    <row r="65" spans="1:5" ht="31.5" customHeight="1">
      <c r="A65" s="1133" t="s">
        <v>1066</v>
      </c>
      <c r="B65" s="1134"/>
      <c r="C65" s="1134"/>
      <c r="D65" s="1135"/>
      <c r="E65" s="41">
        <f>SUM(E60+E36)</f>
        <v>232282</v>
      </c>
    </row>
    <row r="66" spans="1:5" ht="17.25" customHeight="1">
      <c r="A66" s="80"/>
      <c r="B66" s="81"/>
      <c r="C66" s="93"/>
      <c r="D66" s="82" t="s">
        <v>268</v>
      </c>
      <c r="E66" s="71">
        <f>SUM(E61+E37)</f>
        <v>10280</v>
      </c>
    </row>
    <row r="67" spans="1:5" ht="24" customHeight="1" thickBot="1">
      <c r="A67" s="77"/>
      <c r="B67" s="78"/>
      <c r="C67" s="10"/>
      <c r="D67" s="83" t="s">
        <v>269</v>
      </c>
      <c r="E67" s="76">
        <v>66</v>
      </c>
    </row>
    <row r="68" spans="1:5" ht="18" thickBot="1" thickTop="1">
      <c r="A68" s="63" t="s">
        <v>270</v>
      </c>
      <c r="B68" s="64"/>
      <c r="C68" s="201"/>
      <c r="D68" s="1131" t="s">
        <v>271</v>
      </c>
      <c r="E68" s="1140"/>
    </row>
    <row r="69" spans="1:5" ht="17.25" thickTop="1">
      <c r="A69" s="66"/>
      <c r="B69" s="65" t="s">
        <v>14</v>
      </c>
      <c r="C69" s="10"/>
      <c r="D69" s="1200"/>
      <c r="E69" s="1201"/>
    </row>
    <row r="70" spans="1:5" ht="16.5">
      <c r="A70" s="66"/>
      <c r="B70" s="68"/>
      <c r="C70" s="10" t="s">
        <v>16</v>
      </c>
      <c r="D70" s="12" t="s">
        <v>623</v>
      </c>
      <c r="E70" s="13">
        <f>SUM(E71:E72)</f>
        <v>1388</v>
      </c>
    </row>
    <row r="71" spans="1:5" ht="16.5">
      <c r="A71" s="66"/>
      <c r="B71" s="68"/>
      <c r="C71" s="10" t="s">
        <v>309</v>
      </c>
      <c r="D71" s="193" t="s">
        <v>1211</v>
      </c>
      <c r="E71" s="13">
        <v>1110</v>
      </c>
    </row>
    <row r="72" spans="1:5" ht="16.5">
      <c r="A72" s="66"/>
      <c r="B72" s="68"/>
      <c r="C72" s="10" t="s">
        <v>627</v>
      </c>
      <c r="D72" s="193" t="s">
        <v>184</v>
      </c>
      <c r="E72" s="13">
        <v>278</v>
      </c>
    </row>
    <row r="73" spans="1:5" ht="15" customHeight="1">
      <c r="A73" s="66"/>
      <c r="B73" s="68"/>
      <c r="C73" s="10" t="s">
        <v>17</v>
      </c>
      <c r="D73" s="12" t="s">
        <v>1209</v>
      </c>
      <c r="E73" s="13"/>
    </row>
    <row r="74" spans="1:5" ht="16.5">
      <c r="A74" s="66"/>
      <c r="B74" s="68"/>
      <c r="C74" s="10" t="s">
        <v>36</v>
      </c>
      <c r="D74" s="12" t="s">
        <v>243</v>
      </c>
      <c r="E74" s="13">
        <f>SUM(E75+E79)</f>
        <v>130964</v>
      </c>
    </row>
    <row r="75" spans="1:14" s="52" customFormat="1" ht="16.5">
      <c r="A75" s="174"/>
      <c r="B75" s="175"/>
      <c r="C75" s="51" t="s">
        <v>124</v>
      </c>
      <c r="D75" s="47" t="s">
        <v>244</v>
      </c>
      <c r="E75" s="48">
        <f>SUM(E78+E76)</f>
        <v>129964</v>
      </c>
      <c r="N75" s="264"/>
    </row>
    <row r="76" spans="1:5" ht="16.5">
      <c r="A76" s="66"/>
      <c r="B76" s="68"/>
      <c r="C76" s="10" t="s">
        <v>72</v>
      </c>
      <c r="D76" s="12" t="s">
        <v>245</v>
      </c>
      <c r="E76" s="13">
        <v>69777</v>
      </c>
    </row>
    <row r="77" spans="1:5" ht="16.5">
      <c r="A77" s="66"/>
      <c r="B77" s="68"/>
      <c r="C77" s="10" t="s">
        <v>624</v>
      </c>
      <c r="D77" s="47" t="s">
        <v>176</v>
      </c>
      <c r="E77" s="47">
        <v>9240</v>
      </c>
    </row>
    <row r="78" spans="1:9" ht="16.5">
      <c r="A78" s="66"/>
      <c r="B78" s="68"/>
      <c r="C78" s="10" t="s">
        <v>1464</v>
      </c>
      <c r="D78" s="12" t="s">
        <v>246</v>
      </c>
      <c r="E78" s="13">
        <v>60187</v>
      </c>
      <c r="F78" s="25"/>
      <c r="G78" s="25" t="e">
        <f>SUM(#REF!-#REF!)</f>
        <v>#REF!</v>
      </c>
      <c r="H78" s="25" t="e">
        <f>SUM(#REF!-#REF!)</f>
        <v>#REF!</v>
      </c>
      <c r="I78" s="25">
        <f>SUM(E96-E80)</f>
        <v>0</v>
      </c>
    </row>
    <row r="79" spans="1:5" ht="16.5">
      <c r="A79" s="66"/>
      <c r="B79" s="68"/>
      <c r="C79" s="10" t="s">
        <v>125</v>
      </c>
      <c r="D79" s="12" t="s">
        <v>247</v>
      </c>
      <c r="E79" s="53">
        <v>1000</v>
      </c>
    </row>
    <row r="80" spans="1:5" ht="16.5">
      <c r="A80" s="66"/>
      <c r="B80" s="68"/>
      <c r="C80" s="10"/>
      <c r="D80" s="69" t="s">
        <v>248</v>
      </c>
      <c r="E80" s="41">
        <f>SUM(E70+E74+E73)</f>
        <v>132352</v>
      </c>
    </row>
    <row r="81" spans="1:5" ht="16.5">
      <c r="A81" s="66"/>
      <c r="B81" s="65" t="s">
        <v>19</v>
      </c>
      <c r="C81" s="11"/>
      <c r="D81" s="1128" t="s">
        <v>250</v>
      </c>
      <c r="E81" s="1136"/>
    </row>
    <row r="82" spans="1:14" s="115" customFormat="1" ht="15" customHeight="1">
      <c r="A82" s="33"/>
      <c r="B82" s="65"/>
      <c r="C82" s="10" t="s">
        <v>20</v>
      </c>
      <c r="D82" s="12" t="s">
        <v>251</v>
      </c>
      <c r="E82" s="13">
        <v>85334</v>
      </c>
      <c r="N82" s="263"/>
    </row>
    <row r="83" spans="1:6" ht="16.5">
      <c r="A83" s="66"/>
      <c r="B83" s="68"/>
      <c r="C83" s="46" t="s">
        <v>144</v>
      </c>
      <c r="D83" s="194" t="s">
        <v>252</v>
      </c>
      <c r="E83" s="54">
        <v>6621</v>
      </c>
      <c r="F83" s="25"/>
    </row>
    <row r="84" spans="1:5" ht="16.5">
      <c r="A84" s="66"/>
      <c r="B84" s="68"/>
      <c r="C84" s="11" t="s">
        <v>44</v>
      </c>
      <c r="D84" s="12" t="s">
        <v>35</v>
      </c>
      <c r="E84" s="13">
        <v>22105</v>
      </c>
    </row>
    <row r="85" spans="1:14" s="52" customFormat="1" ht="16.5">
      <c r="A85" s="174"/>
      <c r="B85" s="175"/>
      <c r="C85" s="46" t="s">
        <v>188</v>
      </c>
      <c r="D85" s="194" t="s">
        <v>252</v>
      </c>
      <c r="E85" s="54">
        <v>1808</v>
      </c>
      <c r="N85" s="264"/>
    </row>
    <row r="86" spans="1:5" ht="16.5">
      <c r="A86" s="66"/>
      <c r="B86" s="68"/>
      <c r="C86" s="11" t="s">
        <v>45</v>
      </c>
      <c r="D86" s="12" t="s">
        <v>253</v>
      </c>
      <c r="E86" s="13">
        <v>23913</v>
      </c>
    </row>
    <row r="87" spans="1:14" s="52" customFormat="1" ht="16.5">
      <c r="A87" s="174"/>
      <c r="B87" s="175"/>
      <c r="C87" s="46" t="s">
        <v>254</v>
      </c>
      <c r="D87" s="194" t="s">
        <v>252</v>
      </c>
      <c r="E87" s="54">
        <v>811</v>
      </c>
      <c r="N87" s="264"/>
    </row>
    <row r="88" spans="1:14" s="115" customFormat="1" ht="15" customHeight="1" hidden="1">
      <c r="A88" s="33"/>
      <c r="B88" s="65"/>
      <c r="C88" s="16" t="s">
        <v>44</v>
      </c>
      <c r="D88" s="17" t="s">
        <v>1460</v>
      </c>
      <c r="E88" s="255"/>
      <c r="N88" s="263"/>
    </row>
    <row r="89" spans="1:5" ht="16.5" hidden="1">
      <c r="A89" s="66"/>
      <c r="B89" s="68"/>
      <c r="C89" s="11" t="s">
        <v>188</v>
      </c>
      <c r="D89" s="193" t="s">
        <v>251</v>
      </c>
      <c r="E89" s="281"/>
    </row>
    <row r="90" spans="1:5" ht="16.5" hidden="1">
      <c r="A90" s="66"/>
      <c r="B90" s="68"/>
      <c r="C90" s="11" t="s">
        <v>1461</v>
      </c>
      <c r="D90" s="193" t="s">
        <v>35</v>
      </c>
      <c r="E90" s="281"/>
    </row>
    <row r="91" spans="1:5" ht="16.5" hidden="1">
      <c r="A91" s="66"/>
      <c r="B91" s="68"/>
      <c r="C91" s="11" t="s">
        <v>1434</v>
      </c>
      <c r="D91" s="193" t="s">
        <v>253</v>
      </c>
      <c r="E91" s="281"/>
    </row>
    <row r="92" spans="1:14" s="52" customFormat="1" ht="16.5" hidden="1">
      <c r="A92" s="174"/>
      <c r="B92" s="175"/>
      <c r="C92" s="46" t="s">
        <v>1462</v>
      </c>
      <c r="D92" s="194" t="s">
        <v>252</v>
      </c>
      <c r="E92" s="282"/>
      <c r="N92" s="264"/>
    </row>
    <row r="93" spans="1:14" s="115" customFormat="1" ht="15" customHeight="1">
      <c r="A93" s="33"/>
      <c r="B93" s="65"/>
      <c r="C93" s="11" t="s">
        <v>49</v>
      </c>
      <c r="D93" s="12" t="s">
        <v>256</v>
      </c>
      <c r="E93" s="18"/>
      <c r="N93" s="263"/>
    </row>
    <row r="94" spans="1:14" s="115" customFormat="1" ht="15" customHeight="1">
      <c r="A94" s="33"/>
      <c r="B94" s="65"/>
      <c r="C94" s="11" t="s">
        <v>50</v>
      </c>
      <c r="D94" s="12" t="s">
        <v>257</v>
      </c>
      <c r="E94" s="18">
        <v>1000</v>
      </c>
      <c r="N94" s="263"/>
    </row>
    <row r="95" spans="1:14" s="115" customFormat="1" ht="15" customHeight="1">
      <c r="A95" s="33"/>
      <c r="B95" s="65"/>
      <c r="C95" s="11" t="s">
        <v>51</v>
      </c>
      <c r="D95" s="12" t="s">
        <v>260</v>
      </c>
      <c r="E95" s="18"/>
      <c r="N95" s="263"/>
    </row>
    <row r="96" spans="1:5" ht="16.5">
      <c r="A96" s="66"/>
      <c r="B96" s="68"/>
      <c r="C96" s="11"/>
      <c r="D96" s="72" t="s">
        <v>261</v>
      </c>
      <c r="E96" s="41">
        <f>SUM(E82+E84+E86+E93+E94+E95)</f>
        <v>132352</v>
      </c>
    </row>
    <row r="97" spans="1:5" ht="16.5">
      <c r="A97" s="66"/>
      <c r="B97" s="68"/>
      <c r="C97" s="11"/>
      <c r="D97" s="73" t="s">
        <v>262</v>
      </c>
      <c r="E97" s="71">
        <f>SUM(E83+E85+E87)</f>
        <v>9240</v>
      </c>
    </row>
    <row r="98" spans="1:5" ht="18" customHeight="1" thickBot="1">
      <c r="A98" s="66"/>
      <c r="B98" s="65" t="s">
        <v>22</v>
      </c>
      <c r="C98" s="16"/>
      <c r="D98" s="75" t="s">
        <v>266</v>
      </c>
      <c r="E98" s="168">
        <v>40.88</v>
      </c>
    </row>
    <row r="99" spans="1:5" ht="18" thickBot="1" thickTop="1">
      <c r="A99" s="63" t="s">
        <v>272</v>
      </c>
      <c r="B99" s="64"/>
      <c r="C99" s="201"/>
      <c r="D99" s="1131" t="s">
        <v>273</v>
      </c>
      <c r="E99" s="1140"/>
    </row>
    <row r="100" spans="1:5" ht="17.25" thickTop="1">
      <c r="A100" s="66"/>
      <c r="B100" s="65" t="s">
        <v>14</v>
      </c>
      <c r="C100" s="10"/>
      <c r="D100" s="1200" t="s">
        <v>240</v>
      </c>
      <c r="E100" s="1201"/>
    </row>
    <row r="101" spans="1:5" ht="16.5">
      <c r="A101" s="66"/>
      <c r="B101" s="68"/>
      <c r="C101" s="15" t="s">
        <v>16</v>
      </c>
      <c r="D101" s="12" t="s">
        <v>623</v>
      </c>
      <c r="E101" s="13">
        <f>SUM(E102+E103+E104)</f>
        <v>795</v>
      </c>
    </row>
    <row r="102" spans="1:5" ht="16.5">
      <c r="A102" s="66"/>
      <c r="B102" s="68"/>
      <c r="C102" s="10" t="s">
        <v>54</v>
      </c>
      <c r="D102" s="193" t="s">
        <v>274</v>
      </c>
      <c r="E102" s="13">
        <v>636</v>
      </c>
    </row>
    <row r="103" spans="1:5" ht="16.5">
      <c r="A103" s="66"/>
      <c r="B103" s="68"/>
      <c r="C103" s="10" t="s">
        <v>55</v>
      </c>
      <c r="D103" s="193" t="s">
        <v>275</v>
      </c>
      <c r="E103" s="13"/>
    </row>
    <row r="104" spans="1:5" ht="16.5">
      <c r="A104" s="66"/>
      <c r="B104" s="68"/>
      <c r="C104" s="10" t="s">
        <v>302</v>
      </c>
      <c r="D104" s="193" t="s">
        <v>184</v>
      </c>
      <c r="E104" s="13">
        <v>159</v>
      </c>
    </row>
    <row r="105" spans="1:5" ht="15" customHeight="1">
      <c r="A105" s="66"/>
      <c r="B105" s="68"/>
      <c r="C105" s="15" t="s">
        <v>17</v>
      </c>
      <c r="D105" s="12" t="s">
        <v>1209</v>
      </c>
      <c r="E105" s="13"/>
    </row>
    <row r="106" spans="1:5" ht="16.5">
      <c r="A106" s="66"/>
      <c r="B106" s="68"/>
      <c r="C106" s="15" t="s">
        <v>626</v>
      </c>
      <c r="D106" s="12" t="s">
        <v>243</v>
      </c>
      <c r="E106" s="13">
        <f>SUM(E107+E110)</f>
        <v>137162</v>
      </c>
    </row>
    <row r="107" spans="1:14" s="52" customFormat="1" ht="16.5">
      <c r="A107" s="174"/>
      <c r="B107" s="175"/>
      <c r="C107" s="51" t="s">
        <v>124</v>
      </c>
      <c r="D107" s="47" t="s">
        <v>244</v>
      </c>
      <c r="E107" s="48">
        <f>SUM(E108:E109)</f>
        <v>137162</v>
      </c>
      <c r="N107" s="264"/>
    </row>
    <row r="108" spans="1:5" ht="16.5">
      <c r="A108" s="66"/>
      <c r="B108" s="68"/>
      <c r="C108" s="10" t="s">
        <v>72</v>
      </c>
      <c r="D108" s="12" t="s">
        <v>245</v>
      </c>
      <c r="E108" s="13">
        <v>66753</v>
      </c>
    </row>
    <row r="109" spans="1:5" ht="16.5">
      <c r="A109" s="66"/>
      <c r="B109" s="68"/>
      <c r="C109" s="10" t="s">
        <v>1464</v>
      </c>
      <c r="D109" s="12" t="s">
        <v>246</v>
      </c>
      <c r="E109" s="13">
        <v>70409</v>
      </c>
    </row>
    <row r="110" spans="1:9" ht="16.5">
      <c r="A110" s="66"/>
      <c r="B110" s="68"/>
      <c r="C110" s="10" t="s">
        <v>125</v>
      </c>
      <c r="D110" s="12" t="s">
        <v>247</v>
      </c>
      <c r="E110" s="13"/>
      <c r="I110" s="25">
        <f>SUM(E123-E111)</f>
        <v>0</v>
      </c>
    </row>
    <row r="111" spans="1:8" ht="16.5">
      <c r="A111" s="66"/>
      <c r="B111" s="68"/>
      <c r="C111" s="10"/>
      <c r="D111" s="69" t="s">
        <v>248</v>
      </c>
      <c r="E111" s="41">
        <f>SUM(E101+E106+E105)</f>
        <v>137957</v>
      </c>
      <c r="F111" s="25"/>
      <c r="G111" s="25" t="e">
        <f>SUM(#REF!-#REF!)</f>
        <v>#REF!</v>
      </c>
      <c r="H111" s="25" t="e">
        <f>SUM(#REF!-#REF!)</f>
        <v>#REF!</v>
      </c>
    </row>
    <row r="112" spans="1:5" ht="16.5">
      <c r="A112" s="66"/>
      <c r="B112" s="65" t="s">
        <v>19</v>
      </c>
      <c r="C112" s="11"/>
      <c r="D112" s="1128" t="s">
        <v>250</v>
      </c>
      <c r="E112" s="1136"/>
    </row>
    <row r="113" spans="1:5" ht="16.5">
      <c r="A113" s="66"/>
      <c r="B113" s="65"/>
      <c r="C113" s="10" t="s">
        <v>20</v>
      </c>
      <c r="D113" s="12" t="s">
        <v>251</v>
      </c>
      <c r="E113" s="13">
        <v>92831</v>
      </c>
    </row>
    <row r="114" spans="1:6" ht="16.5">
      <c r="A114" s="66"/>
      <c r="B114" s="68"/>
      <c r="C114" s="10" t="s">
        <v>44</v>
      </c>
      <c r="D114" s="12" t="s">
        <v>35</v>
      </c>
      <c r="E114" s="13">
        <v>24126</v>
      </c>
      <c r="F114" s="25"/>
    </row>
    <row r="115" spans="1:5" ht="16.5">
      <c r="A115" s="66"/>
      <c r="B115" s="68"/>
      <c r="C115" s="10" t="s">
        <v>45</v>
      </c>
      <c r="D115" s="12" t="s">
        <v>253</v>
      </c>
      <c r="E115" s="13">
        <v>21000</v>
      </c>
    </row>
    <row r="116" spans="1:14" s="115" customFormat="1" ht="15" customHeight="1" hidden="1">
      <c r="A116" s="33"/>
      <c r="B116" s="65"/>
      <c r="C116" s="10" t="s">
        <v>45</v>
      </c>
      <c r="D116" s="17" t="s">
        <v>1460</v>
      </c>
      <c r="E116" s="18"/>
      <c r="N116" s="263"/>
    </row>
    <row r="117" spans="1:5" ht="16.5" hidden="1">
      <c r="A117" s="66"/>
      <c r="B117" s="68"/>
      <c r="C117" s="10" t="s">
        <v>45</v>
      </c>
      <c r="D117" s="193" t="s">
        <v>251</v>
      </c>
      <c r="E117" s="13"/>
    </row>
    <row r="118" spans="1:5" ht="16.5" hidden="1">
      <c r="A118" s="66"/>
      <c r="B118" s="68"/>
      <c r="C118" s="10" t="s">
        <v>45</v>
      </c>
      <c r="D118" s="193" t="s">
        <v>35</v>
      </c>
      <c r="E118" s="13"/>
    </row>
    <row r="119" spans="1:5" ht="16.5" hidden="1">
      <c r="A119" s="66"/>
      <c r="B119" s="68"/>
      <c r="C119" s="10" t="s">
        <v>45</v>
      </c>
      <c r="D119" s="193" t="s">
        <v>253</v>
      </c>
      <c r="E119" s="13"/>
    </row>
    <row r="120" spans="1:14" s="115" customFormat="1" ht="15" customHeight="1">
      <c r="A120" s="33"/>
      <c r="B120" s="65"/>
      <c r="C120" s="10" t="s">
        <v>49</v>
      </c>
      <c r="D120" s="12" t="s">
        <v>256</v>
      </c>
      <c r="E120" s="18"/>
      <c r="N120" s="263"/>
    </row>
    <row r="121" spans="1:14" s="115" customFormat="1" ht="15" customHeight="1">
      <c r="A121" s="33"/>
      <c r="B121" s="65"/>
      <c r="C121" s="10" t="s">
        <v>50</v>
      </c>
      <c r="D121" s="12" t="s">
        <v>257</v>
      </c>
      <c r="E121" s="18"/>
      <c r="N121" s="263"/>
    </row>
    <row r="122" spans="1:14" s="115" customFormat="1" ht="15" customHeight="1">
      <c r="A122" s="33"/>
      <c r="B122" s="65"/>
      <c r="C122" s="10" t="s">
        <v>51</v>
      </c>
      <c r="D122" s="12" t="s">
        <v>260</v>
      </c>
      <c r="E122" s="18"/>
      <c r="N122" s="263"/>
    </row>
    <row r="123" spans="1:5" ht="16.5">
      <c r="A123" s="66"/>
      <c r="B123" s="68"/>
      <c r="C123" s="11"/>
      <c r="D123" s="72" t="s">
        <v>261</v>
      </c>
      <c r="E123" s="41">
        <f>SUM(E113:E122)</f>
        <v>137957</v>
      </c>
    </row>
    <row r="124" spans="1:5" ht="17.25" thickBot="1">
      <c r="A124" s="66"/>
      <c r="B124" s="65" t="s">
        <v>22</v>
      </c>
      <c r="C124" s="10"/>
      <c r="D124" s="84" t="s">
        <v>276</v>
      </c>
      <c r="E124" s="437">
        <v>43.75</v>
      </c>
    </row>
    <row r="125" spans="1:5" ht="18" thickBot="1" thickTop="1">
      <c r="A125" s="267" t="s">
        <v>277</v>
      </c>
      <c r="B125" s="64"/>
      <c r="C125" s="201"/>
      <c r="D125" s="1131" t="s">
        <v>278</v>
      </c>
      <c r="E125" s="1140"/>
    </row>
    <row r="126" spans="1:5" ht="17.25" thickTop="1">
      <c r="A126" s="66"/>
      <c r="B126" s="65" t="s">
        <v>14</v>
      </c>
      <c r="C126" s="10"/>
      <c r="D126" s="1200" t="s">
        <v>240</v>
      </c>
      <c r="E126" s="1201"/>
    </row>
    <row r="127" spans="1:5" ht="16.5">
      <c r="A127" s="66"/>
      <c r="B127" s="68"/>
      <c r="C127" s="15" t="s">
        <v>16</v>
      </c>
      <c r="D127" s="12" t="s">
        <v>623</v>
      </c>
      <c r="E127" s="13">
        <f>SUM(E128)</f>
        <v>2600</v>
      </c>
    </row>
    <row r="128" spans="1:5" ht="16.5">
      <c r="A128" s="66"/>
      <c r="B128" s="68"/>
      <c r="C128" s="10" t="s">
        <v>54</v>
      </c>
      <c r="D128" s="193" t="s">
        <v>279</v>
      </c>
      <c r="E128" s="13">
        <v>2600</v>
      </c>
    </row>
    <row r="129" spans="1:5" ht="15" customHeight="1">
      <c r="A129" s="66"/>
      <c r="B129" s="68"/>
      <c r="C129" s="15" t="s">
        <v>17</v>
      </c>
      <c r="D129" s="12" t="s">
        <v>1209</v>
      </c>
      <c r="E129" s="13"/>
    </row>
    <row r="130" spans="1:5" ht="16.5">
      <c r="A130" s="66"/>
      <c r="B130" s="68"/>
      <c r="C130" s="15" t="s">
        <v>36</v>
      </c>
      <c r="D130" s="12" t="s">
        <v>243</v>
      </c>
      <c r="E130" s="13">
        <f>SUM(E131+E134)</f>
        <v>38091</v>
      </c>
    </row>
    <row r="131" spans="1:14" s="52" customFormat="1" ht="16.5">
      <c r="A131" s="174"/>
      <c r="B131" s="175"/>
      <c r="C131" s="51" t="s">
        <v>124</v>
      </c>
      <c r="D131" s="47" t="s">
        <v>244</v>
      </c>
      <c r="E131" s="48">
        <f>SUM(E132+E133)</f>
        <v>38091</v>
      </c>
      <c r="N131" s="264"/>
    </row>
    <row r="132" spans="1:5" ht="16.5">
      <c r="A132" s="66"/>
      <c r="B132" s="68"/>
      <c r="C132" s="10" t="s">
        <v>72</v>
      </c>
      <c r="D132" s="12" t="s">
        <v>245</v>
      </c>
      <c r="E132" s="13">
        <v>19104</v>
      </c>
    </row>
    <row r="133" spans="1:9" ht="16.5">
      <c r="A133" s="66"/>
      <c r="B133" s="68"/>
      <c r="C133" s="10" t="s">
        <v>1464</v>
      </c>
      <c r="D133" s="12" t="s">
        <v>246</v>
      </c>
      <c r="E133" s="13">
        <v>18987</v>
      </c>
      <c r="I133" s="25">
        <f>SUM(E143-E135)</f>
        <v>0</v>
      </c>
    </row>
    <row r="134" spans="1:5" ht="16.5">
      <c r="A134" s="66"/>
      <c r="B134" s="68"/>
      <c r="C134" s="10" t="s">
        <v>125</v>
      </c>
      <c r="D134" s="12" t="s">
        <v>247</v>
      </c>
      <c r="E134" s="13"/>
    </row>
    <row r="135" spans="1:8" ht="16.5">
      <c r="A135" s="66"/>
      <c r="B135" s="68"/>
      <c r="C135" s="10"/>
      <c r="D135" s="69" t="s">
        <v>248</v>
      </c>
      <c r="E135" s="41">
        <f>SUM(E127+E130+E129)</f>
        <v>40691</v>
      </c>
      <c r="F135" s="25"/>
      <c r="G135" s="25" t="e">
        <f>SUM(#REF!-#REF!)</f>
        <v>#REF!</v>
      </c>
      <c r="H135" s="25" t="e">
        <f>SUM(#REF!-#REF!)</f>
        <v>#REF!</v>
      </c>
    </row>
    <row r="136" spans="1:5" ht="16.5">
      <c r="A136" s="66"/>
      <c r="B136" s="65" t="s">
        <v>19</v>
      </c>
      <c r="C136" s="11"/>
      <c r="D136" s="306" t="s">
        <v>250</v>
      </c>
      <c r="E136" s="1202"/>
    </row>
    <row r="137" spans="1:6" ht="16.5">
      <c r="A137" s="66"/>
      <c r="B137" s="68"/>
      <c r="C137" s="11" t="s">
        <v>20</v>
      </c>
      <c r="D137" s="12" t="s">
        <v>251</v>
      </c>
      <c r="E137" s="13">
        <v>30283</v>
      </c>
      <c r="F137" s="25"/>
    </row>
    <row r="138" spans="1:5" ht="16.5">
      <c r="A138" s="66"/>
      <c r="B138" s="68"/>
      <c r="C138" s="11" t="s">
        <v>44</v>
      </c>
      <c r="D138" s="12" t="s">
        <v>35</v>
      </c>
      <c r="E138" s="13">
        <v>7629</v>
      </c>
    </row>
    <row r="139" spans="1:5" ht="16.5">
      <c r="A139" s="66"/>
      <c r="B139" s="68"/>
      <c r="C139" s="11" t="s">
        <v>45</v>
      </c>
      <c r="D139" s="12" t="s">
        <v>253</v>
      </c>
      <c r="E139" s="13">
        <v>2779</v>
      </c>
    </row>
    <row r="140" spans="1:5" ht="16.5">
      <c r="A140" s="66"/>
      <c r="B140" s="68"/>
      <c r="C140" s="11" t="s">
        <v>49</v>
      </c>
      <c r="D140" s="12" t="s">
        <v>256</v>
      </c>
      <c r="E140" s="13"/>
    </row>
    <row r="141" spans="1:5" ht="16.5">
      <c r="A141" s="66"/>
      <c r="B141" s="68"/>
      <c r="C141" s="11" t="s">
        <v>50</v>
      </c>
      <c r="D141" s="12" t="s">
        <v>257</v>
      </c>
      <c r="E141" s="13"/>
    </row>
    <row r="142" spans="1:5" ht="16.5">
      <c r="A142" s="66"/>
      <c r="B142" s="68"/>
      <c r="C142" s="11" t="s">
        <v>51</v>
      </c>
      <c r="D142" s="12" t="s">
        <v>260</v>
      </c>
      <c r="E142" s="13"/>
    </row>
    <row r="143" spans="1:5" ht="16.5">
      <c r="A143" s="66"/>
      <c r="B143" s="68"/>
      <c r="C143" s="11"/>
      <c r="D143" s="72" t="s">
        <v>261</v>
      </c>
      <c r="E143" s="41">
        <f>SUM(E137:E142)</f>
        <v>40691</v>
      </c>
    </row>
    <row r="144" spans="1:5" ht="17.25" thickBot="1">
      <c r="A144" s="68"/>
      <c r="B144" s="65" t="s">
        <v>22</v>
      </c>
      <c r="C144" s="10"/>
      <c r="D144" s="84" t="s">
        <v>276</v>
      </c>
      <c r="E144" s="437">
        <v>12</v>
      </c>
    </row>
    <row r="145" spans="1:5" ht="18" thickBot="1" thickTop="1">
      <c r="A145" s="63" t="s">
        <v>280</v>
      </c>
      <c r="B145" s="64"/>
      <c r="C145" s="201"/>
      <c r="D145" s="1131" t="s">
        <v>281</v>
      </c>
      <c r="E145" s="1140"/>
    </row>
    <row r="146" spans="1:5" ht="17.25" thickTop="1">
      <c r="A146" s="66"/>
      <c r="B146" s="65" t="s">
        <v>14</v>
      </c>
      <c r="C146" s="10"/>
      <c r="D146" s="1200" t="s">
        <v>240</v>
      </c>
      <c r="E146" s="1201"/>
    </row>
    <row r="147" spans="1:5" ht="16.5">
      <c r="A147" s="66"/>
      <c r="B147" s="68"/>
      <c r="C147" s="15" t="s">
        <v>16</v>
      </c>
      <c r="D147" s="12" t="s">
        <v>623</v>
      </c>
      <c r="E147" s="13">
        <f>SUM(E148:E150)</f>
        <v>220</v>
      </c>
    </row>
    <row r="148" spans="1:5" ht="16.5">
      <c r="A148" s="66"/>
      <c r="B148" s="68"/>
      <c r="C148" s="10" t="s">
        <v>54</v>
      </c>
      <c r="D148" s="193" t="s">
        <v>282</v>
      </c>
      <c r="E148" s="13">
        <v>176</v>
      </c>
    </row>
    <row r="149" spans="1:5" ht="16.5">
      <c r="A149" s="66"/>
      <c r="B149" s="68"/>
      <c r="C149" s="10" t="s">
        <v>55</v>
      </c>
      <c r="D149" s="193" t="s">
        <v>215</v>
      </c>
      <c r="E149" s="13"/>
    </row>
    <row r="150" spans="1:5" ht="16.5">
      <c r="A150" s="66"/>
      <c r="B150" s="68"/>
      <c r="C150" s="10" t="s">
        <v>302</v>
      </c>
      <c r="D150" s="193" t="s">
        <v>184</v>
      </c>
      <c r="E150" s="13">
        <v>44</v>
      </c>
    </row>
    <row r="151" spans="1:5" ht="15" customHeight="1">
      <c r="A151" s="66"/>
      <c r="B151" s="68"/>
      <c r="C151" s="15" t="s">
        <v>17</v>
      </c>
      <c r="D151" s="12" t="s">
        <v>1209</v>
      </c>
      <c r="E151" s="13"/>
    </row>
    <row r="152" spans="1:5" ht="16.5">
      <c r="A152" s="66"/>
      <c r="B152" s="68"/>
      <c r="C152" s="15" t="s">
        <v>36</v>
      </c>
      <c r="D152" s="12" t="s">
        <v>243</v>
      </c>
      <c r="E152" s="13">
        <f>SUM(E156+E153)</f>
        <v>88761</v>
      </c>
    </row>
    <row r="153" spans="1:14" s="52" customFormat="1" ht="16.5">
      <c r="A153" s="174"/>
      <c r="B153" s="175"/>
      <c r="C153" s="51" t="s">
        <v>124</v>
      </c>
      <c r="D153" s="47" t="s">
        <v>244</v>
      </c>
      <c r="E153" s="48">
        <f>SUM(E154+E155)</f>
        <v>87761</v>
      </c>
      <c r="N153" s="264"/>
    </row>
    <row r="154" spans="1:5" ht="16.5">
      <c r="A154" s="66"/>
      <c r="B154" s="68"/>
      <c r="C154" s="10" t="s">
        <v>72</v>
      </c>
      <c r="D154" s="12" t="s">
        <v>245</v>
      </c>
      <c r="E154" s="13">
        <v>35703</v>
      </c>
    </row>
    <row r="155" spans="1:9" ht="16.5">
      <c r="A155" s="66"/>
      <c r="B155" s="68"/>
      <c r="C155" s="10" t="s">
        <v>1464</v>
      </c>
      <c r="D155" s="12" t="s">
        <v>246</v>
      </c>
      <c r="E155" s="13">
        <v>52058</v>
      </c>
      <c r="I155" s="25">
        <f>SUM(E165-E157)</f>
        <v>0</v>
      </c>
    </row>
    <row r="156" spans="1:5" ht="16.5">
      <c r="A156" s="66"/>
      <c r="B156" s="68"/>
      <c r="C156" s="10" t="s">
        <v>125</v>
      </c>
      <c r="D156" s="12" t="s">
        <v>247</v>
      </c>
      <c r="E156" s="13">
        <v>1000</v>
      </c>
    </row>
    <row r="157" spans="1:8" ht="16.5">
      <c r="A157" s="66"/>
      <c r="B157" s="68"/>
      <c r="C157" s="10"/>
      <c r="D157" s="69" t="s">
        <v>248</v>
      </c>
      <c r="E157" s="41">
        <f>SUM(E147+E152+E151)</f>
        <v>88981</v>
      </c>
      <c r="F157" s="25"/>
      <c r="G157" s="25" t="e">
        <f>SUM(#REF!-#REF!)</f>
        <v>#REF!</v>
      </c>
      <c r="H157" s="25" t="e">
        <f>SUM(#REF!-#REF!)</f>
        <v>#REF!</v>
      </c>
    </row>
    <row r="158" spans="1:5" ht="16.5">
      <c r="A158" s="66"/>
      <c r="B158" s="65" t="s">
        <v>19</v>
      </c>
      <c r="C158" s="11"/>
      <c r="D158" s="1128" t="s">
        <v>250</v>
      </c>
      <c r="E158" s="1136"/>
    </row>
    <row r="159" spans="1:5" ht="16.5">
      <c r="A159" s="66"/>
      <c r="B159" s="65"/>
      <c r="C159" s="11" t="s">
        <v>20</v>
      </c>
      <c r="D159" s="12" t="s">
        <v>251</v>
      </c>
      <c r="E159" s="13">
        <v>56243</v>
      </c>
    </row>
    <row r="160" spans="1:6" ht="16.5">
      <c r="A160" s="66"/>
      <c r="B160" s="68"/>
      <c r="C160" s="11" t="s">
        <v>44</v>
      </c>
      <c r="D160" s="12" t="s">
        <v>35</v>
      </c>
      <c r="E160" s="13">
        <v>14424</v>
      </c>
      <c r="F160" s="25"/>
    </row>
    <row r="161" spans="1:5" ht="16.5">
      <c r="A161" s="66"/>
      <c r="B161" s="68"/>
      <c r="C161" s="11" t="s">
        <v>45</v>
      </c>
      <c r="D161" s="12" t="s">
        <v>253</v>
      </c>
      <c r="E161" s="13">
        <v>17314</v>
      </c>
    </row>
    <row r="162" spans="1:14" s="115" customFormat="1" ht="15" customHeight="1">
      <c r="A162" s="33"/>
      <c r="B162" s="65"/>
      <c r="C162" s="11" t="s">
        <v>49</v>
      </c>
      <c r="D162" s="12" t="s">
        <v>256</v>
      </c>
      <c r="E162" s="18"/>
      <c r="N162" s="263"/>
    </row>
    <row r="163" spans="1:14" s="115" customFormat="1" ht="15" customHeight="1">
      <c r="A163" s="33"/>
      <c r="B163" s="65"/>
      <c r="C163" s="11" t="s">
        <v>50</v>
      </c>
      <c r="D163" s="12" t="s">
        <v>257</v>
      </c>
      <c r="E163" s="18">
        <v>1000</v>
      </c>
      <c r="N163" s="263"/>
    </row>
    <row r="164" spans="1:14" s="115" customFormat="1" ht="15" customHeight="1">
      <c r="A164" s="33"/>
      <c r="B164" s="65"/>
      <c r="C164" s="11" t="s">
        <v>51</v>
      </c>
      <c r="D164" s="12" t="s">
        <v>260</v>
      </c>
      <c r="E164" s="18"/>
      <c r="N164" s="263"/>
    </row>
    <row r="165" spans="1:5" ht="16.5">
      <c r="A165" s="66"/>
      <c r="B165" s="68"/>
      <c r="C165" s="11"/>
      <c r="D165" s="72" t="s">
        <v>261</v>
      </c>
      <c r="E165" s="41">
        <f>SUM(E159:E164)</f>
        <v>88981</v>
      </c>
    </row>
    <row r="166" spans="1:5" ht="17.25" thickBot="1">
      <c r="A166" s="66"/>
      <c r="B166" s="65" t="s">
        <v>22</v>
      </c>
      <c r="C166" s="16"/>
      <c r="D166" s="75" t="s">
        <v>266</v>
      </c>
      <c r="E166" s="76">
        <v>28</v>
      </c>
    </row>
    <row r="167" spans="1:5" ht="18" thickBot="1" thickTop="1">
      <c r="A167" s="63" t="s">
        <v>283</v>
      </c>
      <c r="B167" s="64"/>
      <c r="C167" s="201"/>
      <c r="D167" s="1131" t="s">
        <v>284</v>
      </c>
      <c r="E167" s="1140"/>
    </row>
    <row r="168" spans="1:5" ht="17.25" thickTop="1">
      <c r="A168" s="66"/>
      <c r="B168" s="65" t="s">
        <v>14</v>
      </c>
      <c r="C168" s="10"/>
      <c r="D168" s="1200" t="s">
        <v>240</v>
      </c>
      <c r="E168" s="1201"/>
    </row>
    <row r="169" spans="1:5" ht="16.5">
      <c r="A169" s="66"/>
      <c r="B169" s="68"/>
      <c r="C169" s="15" t="s">
        <v>16</v>
      </c>
      <c r="D169" s="12" t="s">
        <v>623</v>
      </c>
      <c r="E169" s="13"/>
    </row>
    <row r="170" spans="1:5" ht="15" customHeight="1">
      <c r="A170" s="66"/>
      <c r="B170" s="68"/>
      <c r="C170" s="15" t="s">
        <v>17</v>
      </c>
      <c r="D170" s="12" t="s">
        <v>1209</v>
      </c>
      <c r="E170" s="13"/>
    </row>
    <row r="171" spans="1:5" ht="16.5">
      <c r="A171" s="66"/>
      <c r="B171" s="68"/>
      <c r="C171" s="15" t="s">
        <v>36</v>
      </c>
      <c r="D171" s="12" t="s">
        <v>243</v>
      </c>
      <c r="E171" s="13">
        <f>SUM(E172+E176)</f>
        <v>54069</v>
      </c>
    </row>
    <row r="172" spans="1:14" s="52" customFormat="1" ht="16.5">
      <c r="A172" s="174"/>
      <c r="B172" s="175"/>
      <c r="C172" s="51" t="s">
        <v>124</v>
      </c>
      <c r="D172" s="47" t="s">
        <v>244</v>
      </c>
      <c r="E172" s="48">
        <f>SUM(E173+E175)</f>
        <v>54069</v>
      </c>
      <c r="N172" s="264"/>
    </row>
    <row r="173" spans="1:5" ht="16.5">
      <c r="A173" s="66"/>
      <c r="B173" s="68"/>
      <c r="C173" s="10" t="s">
        <v>72</v>
      </c>
      <c r="D173" s="12" t="s">
        <v>245</v>
      </c>
      <c r="E173" s="13">
        <v>33085</v>
      </c>
    </row>
    <row r="174" spans="1:14" s="52" customFormat="1" ht="16.5">
      <c r="A174" s="174"/>
      <c r="B174" s="175"/>
      <c r="C174" s="51" t="s">
        <v>624</v>
      </c>
      <c r="D174" s="47" t="s">
        <v>176</v>
      </c>
      <c r="E174" s="48">
        <v>3448</v>
      </c>
      <c r="N174" s="264"/>
    </row>
    <row r="175" spans="1:9" ht="16.5">
      <c r="A175" s="66"/>
      <c r="B175" s="68"/>
      <c r="C175" s="10" t="s">
        <v>1464</v>
      </c>
      <c r="D175" s="12" t="s">
        <v>246</v>
      </c>
      <c r="E175" s="13">
        <v>20984</v>
      </c>
      <c r="I175" s="25">
        <f>SUM(E188-E177)</f>
        <v>0</v>
      </c>
    </row>
    <row r="176" spans="1:5" ht="16.5">
      <c r="A176" s="66"/>
      <c r="B176" s="68"/>
      <c r="C176" s="10" t="s">
        <v>125</v>
      </c>
      <c r="D176" s="12" t="s">
        <v>247</v>
      </c>
      <c r="E176" s="13"/>
    </row>
    <row r="177" spans="1:8" ht="16.5">
      <c r="A177" s="66"/>
      <c r="B177" s="68"/>
      <c r="C177" s="10"/>
      <c r="D177" s="69" t="s">
        <v>248</v>
      </c>
      <c r="E177" s="41">
        <f>SUM(E169+E171+E170)</f>
        <v>54069</v>
      </c>
      <c r="F177" s="25"/>
      <c r="G177" s="25" t="e">
        <f>SUM(#REF!-#REF!)</f>
        <v>#REF!</v>
      </c>
      <c r="H177" s="25" t="e">
        <f>SUM(#REF!-#REF!)</f>
        <v>#REF!</v>
      </c>
    </row>
    <row r="178" spans="1:6" ht="16.5">
      <c r="A178" s="66"/>
      <c r="B178" s="65" t="s">
        <v>19</v>
      </c>
      <c r="C178" s="11"/>
      <c r="D178" s="1128" t="s">
        <v>250</v>
      </c>
      <c r="E178" s="1136"/>
      <c r="F178" s="25"/>
    </row>
    <row r="179" spans="1:6" ht="16.5">
      <c r="A179" s="66"/>
      <c r="B179" s="65"/>
      <c r="C179" s="10" t="s">
        <v>20</v>
      </c>
      <c r="D179" s="12" t="s">
        <v>251</v>
      </c>
      <c r="E179" s="13">
        <v>36893</v>
      </c>
      <c r="F179" s="25"/>
    </row>
    <row r="180" spans="1:5" ht="16.5">
      <c r="A180" s="66"/>
      <c r="B180" s="68"/>
      <c r="C180" s="46" t="s">
        <v>144</v>
      </c>
      <c r="D180" s="194" t="s">
        <v>252</v>
      </c>
      <c r="E180" s="48">
        <v>1848</v>
      </c>
    </row>
    <row r="181" spans="1:14" s="52" customFormat="1" ht="16.5">
      <c r="A181" s="174"/>
      <c r="B181" s="175"/>
      <c r="C181" s="10" t="s">
        <v>44</v>
      </c>
      <c r="D181" s="12" t="s">
        <v>35</v>
      </c>
      <c r="E181" s="13">
        <v>10066</v>
      </c>
      <c r="N181" s="264"/>
    </row>
    <row r="182" spans="1:5" ht="16.5">
      <c r="A182" s="66"/>
      <c r="B182" s="68"/>
      <c r="C182" s="11" t="s">
        <v>188</v>
      </c>
      <c r="D182" s="194" t="s">
        <v>252</v>
      </c>
      <c r="E182" s="48">
        <v>499</v>
      </c>
    </row>
    <row r="183" spans="1:14" s="52" customFormat="1" ht="16.5">
      <c r="A183" s="174"/>
      <c r="B183" s="175"/>
      <c r="C183" s="10" t="s">
        <v>45</v>
      </c>
      <c r="D183" s="12" t="s">
        <v>253</v>
      </c>
      <c r="E183" s="13">
        <v>7110</v>
      </c>
      <c r="N183" s="264"/>
    </row>
    <row r="184" spans="1:5" ht="16.5">
      <c r="A184" s="66"/>
      <c r="B184" s="68"/>
      <c r="C184" s="11" t="s">
        <v>254</v>
      </c>
      <c r="D184" s="194" t="s">
        <v>252</v>
      </c>
      <c r="E184" s="48">
        <v>1101</v>
      </c>
    </row>
    <row r="185" spans="1:6" ht="16.5">
      <c r="A185" s="66"/>
      <c r="B185" s="65"/>
      <c r="C185" s="198" t="s">
        <v>49</v>
      </c>
      <c r="D185" s="12" t="s">
        <v>256</v>
      </c>
      <c r="E185" s="13"/>
      <c r="F185" s="25"/>
    </row>
    <row r="186" spans="1:6" ht="16.5">
      <c r="A186" s="66"/>
      <c r="B186" s="65"/>
      <c r="C186" s="198" t="s">
        <v>50</v>
      </c>
      <c r="D186" s="12" t="s">
        <v>257</v>
      </c>
      <c r="E186" s="13"/>
      <c r="F186" s="25"/>
    </row>
    <row r="187" spans="1:6" ht="16.5">
      <c r="A187" s="66"/>
      <c r="B187" s="65"/>
      <c r="C187" s="198" t="s">
        <v>51</v>
      </c>
      <c r="D187" s="12" t="s">
        <v>260</v>
      </c>
      <c r="E187" s="13"/>
      <c r="F187" s="25"/>
    </row>
    <row r="188" spans="1:5" ht="16.5">
      <c r="A188" s="66"/>
      <c r="B188" s="68"/>
      <c r="C188" s="11"/>
      <c r="D188" s="12" t="s">
        <v>261</v>
      </c>
      <c r="E188" s="41">
        <f>SUM(E179+E181+E183+E185+E186+E187)</f>
        <v>54069</v>
      </c>
    </row>
    <row r="189" spans="1:5" ht="16.5">
      <c r="A189" s="66"/>
      <c r="B189" s="68"/>
      <c r="C189" s="11"/>
      <c r="D189" s="73" t="s">
        <v>262</v>
      </c>
      <c r="E189" s="71">
        <v>3448</v>
      </c>
    </row>
    <row r="190" spans="1:5" ht="17.25" thickBot="1">
      <c r="A190" s="66"/>
      <c r="B190" s="65" t="s">
        <v>22</v>
      </c>
      <c r="C190" s="16"/>
      <c r="D190" s="75" t="s">
        <v>266</v>
      </c>
      <c r="E190" s="76">
        <v>18</v>
      </c>
    </row>
    <row r="191" spans="1:5" ht="18" thickBot="1" thickTop="1">
      <c r="A191" s="63" t="s">
        <v>285</v>
      </c>
      <c r="B191" s="64"/>
      <c r="C191" s="201"/>
      <c r="D191" s="1131" t="s">
        <v>286</v>
      </c>
      <c r="E191" s="1140"/>
    </row>
    <row r="192" spans="1:5" ht="17.25" thickTop="1">
      <c r="A192" s="66"/>
      <c r="B192" s="65" t="s">
        <v>14</v>
      </c>
      <c r="C192" s="10"/>
      <c r="D192" s="1200" t="s">
        <v>240</v>
      </c>
      <c r="E192" s="1201"/>
    </row>
    <row r="193" spans="1:5" ht="16.5">
      <c r="A193" s="66"/>
      <c r="B193" s="68"/>
      <c r="C193" s="15" t="s">
        <v>16</v>
      </c>
      <c r="D193" s="12" t="s">
        <v>623</v>
      </c>
      <c r="E193" s="13"/>
    </row>
    <row r="194" spans="1:5" ht="15" customHeight="1">
      <c r="A194" s="66"/>
      <c r="B194" s="68"/>
      <c r="C194" s="15" t="s">
        <v>17</v>
      </c>
      <c r="D194" s="12" t="s">
        <v>1209</v>
      </c>
      <c r="E194" s="13"/>
    </row>
    <row r="195" spans="1:5" ht="16.5">
      <c r="A195" s="66"/>
      <c r="B195" s="68"/>
      <c r="C195" s="15" t="s">
        <v>36</v>
      </c>
      <c r="D195" s="12" t="s">
        <v>243</v>
      </c>
      <c r="E195" s="13">
        <f>SUM(E196+E200)</f>
        <v>44236</v>
      </c>
    </row>
    <row r="196" spans="1:14" s="52" customFormat="1" ht="16.5">
      <c r="A196" s="174"/>
      <c r="B196" s="175"/>
      <c r="C196" s="51" t="s">
        <v>124</v>
      </c>
      <c r="D196" s="47" t="s">
        <v>244</v>
      </c>
      <c r="E196" s="48">
        <f>SUM(E197+E199)</f>
        <v>44236</v>
      </c>
      <c r="N196" s="264"/>
    </row>
    <row r="197" spans="1:5" ht="16.5">
      <c r="A197" s="66"/>
      <c r="B197" s="68"/>
      <c r="C197" s="10" t="s">
        <v>72</v>
      </c>
      <c r="D197" s="12" t="s">
        <v>245</v>
      </c>
      <c r="E197" s="13">
        <v>25682</v>
      </c>
    </row>
    <row r="198" spans="1:14" s="52" customFormat="1" ht="16.5">
      <c r="A198" s="174"/>
      <c r="B198" s="175"/>
      <c r="C198" s="51" t="s">
        <v>624</v>
      </c>
      <c r="D198" s="47" t="s">
        <v>176</v>
      </c>
      <c r="E198" s="48">
        <v>2672</v>
      </c>
      <c r="N198" s="264"/>
    </row>
    <row r="199" spans="1:9" ht="16.5">
      <c r="A199" s="66"/>
      <c r="B199" s="68"/>
      <c r="C199" s="10" t="s">
        <v>1464</v>
      </c>
      <c r="D199" s="12" t="s">
        <v>246</v>
      </c>
      <c r="E199" s="13">
        <v>18554</v>
      </c>
      <c r="I199" s="25">
        <f>SUM(E212-E201)</f>
        <v>0</v>
      </c>
    </row>
    <row r="200" spans="1:5" ht="16.5">
      <c r="A200" s="66"/>
      <c r="B200" s="68"/>
      <c r="C200" s="10" t="s">
        <v>125</v>
      </c>
      <c r="D200" s="12" t="s">
        <v>247</v>
      </c>
      <c r="E200" s="13"/>
    </row>
    <row r="201" spans="1:8" ht="16.5">
      <c r="A201" s="66"/>
      <c r="B201" s="68"/>
      <c r="C201" s="10"/>
      <c r="D201" s="69" t="s">
        <v>248</v>
      </c>
      <c r="E201" s="41">
        <f>SUM(E193+E195+E194)</f>
        <v>44236</v>
      </c>
      <c r="F201" s="25"/>
      <c r="G201" s="25" t="e">
        <f>SUM(#REF!-#REF!)</f>
        <v>#REF!</v>
      </c>
      <c r="H201" s="25" t="e">
        <f>SUM(#REF!-#REF!)</f>
        <v>#REF!</v>
      </c>
    </row>
    <row r="202" spans="1:6" ht="16.5">
      <c r="A202" s="66"/>
      <c r="B202" s="65" t="s">
        <v>19</v>
      </c>
      <c r="C202" s="11"/>
      <c r="D202" s="1128" t="s">
        <v>250</v>
      </c>
      <c r="E202" s="1136"/>
      <c r="F202" s="25"/>
    </row>
    <row r="203" spans="1:6" ht="16.5">
      <c r="A203" s="66"/>
      <c r="B203" s="65"/>
      <c r="C203" s="10" t="s">
        <v>20</v>
      </c>
      <c r="D203" s="12" t="s">
        <v>251</v>
      </c>
      <c r="E203" s="13">
        <v>29852</v>
      </c>
      <c r="F203" s="25"/>
    </row>
    <row r="204" spans="1:14" s="115" customFormat="1" ht="16.5">
      <c r="A204" s="33"/>
      <c r="B204" s="65"/>
      <c r="C204" s="46" t="s">
        <v>144</v>
      </c>
      <c r="D204" s="194" t="s">
        <v>252</v>
      </c>
      <c r="E204" s="48">
        <v>1542</v>
      </c>
      <c r="F204" s="190"/>
      <c r="N204" s="263"/>
    </row>
    <row r="205" spans="1:14" s="52" customFormat="1" ht="16.5">
      <c r="A205" s="174"/>
      <c r="B205" s="175"/>
      <c r="C205" s="10" t="s">
        <v>44</v>
      </c>
      <c r="D205" s="12" t="s">
        <v>35</v>
      </c>
      <c r="E205" s="13">
        <v>8145</v>
      </c>
      <c r="N205" s="264"/>
    </row>
    <row r="206" spans="1:5" ht="16.5">
      <c r="A206" s="66"/>
      <c r="B206" s="68"/>
      <c r="C206" s="11" t="s">
        <v>188</v>
      </c>
      <c r="D206" s="194" t="s">
        <v>252</v>
      </c>
      <c r="E206" s="48">
        <v>416</v>
      </c>
    </row>
    <row r="207" spans="1:14" s="52" customFormat="1" ht="16.5">
      <c r="A207" s="174"/>
      <c r="B207" s="175"/>
      <c r="C207" s="10" t="s">
        <v>45</v>
      </c>
      <c r="D207" s="12" t="s">
        <v>253</v>
      </c>
      <c r="E207" s="13">
        <v>6239</v>
      </c>
      <c r="N207" s="264"/>
    </row>
    <row r="208" spans="1:5" ht="16.5">
      <c r="A208" s="66"/>
      <c r="B208" s="68"/>
      <c r="C208" s="11" t="s">
        <v>254</v>
      </c>
      <c r="D208" s="194" t="s">
        <v>252</v>
      </c>
      <c r="E208" s="48">
        <v>714</v>
      </c>
    </row>
    <row r="209" spans="1:14" s="115" customFormat="1" ht="16.5">
      <c r="A209" s="33"/>
      <c r="B209" s="65"/>
      <c r="C209" s="198" t="s">
        <v>49</v>
      </c>
      <c r="D209" s="12" t="s">
        <v>256</v>
      </c>
      <c r="E209" s="18"/>
      <c r="F209" s="190"/>
      <c r="N209" s="263"/>
    </row>
    <row r="210" spans="1:14" s="115" customFormat="1" ht="16.5">
      <c r="A210" s="33"/>
      <c r="B210" s="65"/>
      <c r="C210" s="198" t="s">
        <v>50</v>
      </c>
      <c r="D210" s="12" t="s">
        <v>257</v>
      </c>
      <c r="E210" s="18"/>
      <c r="F210" s="190"/>
      <c r="N210" s="263"/>
    </row>
    <row r="211" spans="1:14" s="115" customFormat="1" ht="16.5">
      <c r="A211" s="33"/>
      <c r="B211" s="65"/>
      <c r="C211" s="198" t="s">
        <v>51</v>
      </c>
      <c r="D211" s="12" t="s">
        <v>260</v>
      </c>
      <c r="E211" s="18"/>
      <c r="F211" s="190"/>
      <c r="N211" s="263"/>
    </row>
    <row r="212" spans="1:5" ht="16.5">
      <c r="A212" s="66"/>
      <c r="B212" s="68"/>
      <c r="C212" s="11"/>
      <c r="D212" s="72" t="s">
        <v>261</v>
      </c>
      <c r="E212" s="41">
        <f>SUM(E203+E205+E207+E209+E210+E211)</f>
        <v>44236</v>
      </c>
    </row>
    <row r="213" spans="1:14" s="52" customFormat="1" ht="16.5">
      <c r="A213" s="174"/>
      <c r="B213" s="175"/>
      <c r="C213" s="46"/>
      <c r="D213" s="73" t="s">
        <v>262</v>
      </c>
      <c r="E213" s="71">
        <f>SUM(E204+E206+E208)</f>
        <v>2672</v>
      </c>
      <c r="N213" s="264"/>
    </row>
    <row r="214" spans="1:5" ht="17.25" thickBot="1">
      <c r="A214" s="66"/>
      <c r="B214" s="65" t="s">
        <v>22</v>
      </c>
      <c r="C214" s="16"/>
      <c r="D214" s="75" t="s">
        <v>266</v>
      </c>
      <c r="E214" s="168">
        <v>14.25</v>
      </c>
    </row>
    <row r="215" spans="1:5" ht="18" thickBot="1" thickTop="1">
      <c r="A215" s="63" t="s">
        <v>288</v>
      </c>
      <c r="B215" s="64"/>
      <c r="C215" s="201"/>
      <c r="D215" s="1131" t="s">
        <v>1093</v>
      </c>
      <c r="E215" s="1140"/>
    </row>
    <row r="216" spans="1:5" ht="17.25" thickTop="1">
      <c r="A216" s="66"/>
      <c r="B216" s="65" t="s">
        <v>14</v>
      </c>
      <c r="C216" s="10"/>
      <c r="D216" s="1200" t="s">
        <v>240</v>
      </c>
      <c r="E216" s="1201"/>
    </row>
    <row r="217" spans="1:5" ht="16.5">
      <c r="A217" s="66"/>
      <c r="B217" s="68"/>
      <c r="C217" s="15" t="s">
        <v>16</v>
      </c>
      <c r="D217" s="12" t="s">
        <v>623</v>
      </c>
      <c r="E217" s="13"/>
    </row>
    <row r="218" spans="1:5" ht="15" customHeight="1">
      <c r="A218" s="66"/>
      <c r="B218" s="68"/>
      <c r="C218" s="15" t="s">
        <v>17</v>
      </c>
      <c r="D218" s="12" t="s">
        <v>1209</v>
      </c>
      <c r="E218" s="13"/>
    </row>
    <row r="219" spans="1:5" ht="16.5">
      <c r="A219" s="66"/>
      <c r="B219" s="68"/>
      <c r="C219" s="15" t="s">
        <v>36</v>
      </c>
      <c r="D219" s="12" t="s">
        <v>243</v>
      </c>
      <c r="E219" s="13">
        <f>SUM(E220+E223)</f>
        <v>68558</v>
      </c>
    </row>
    <row r="220" spans="1:14" s="52" customFormat="1" ht="16.5">
      <c r="A220" s="174"/>
      <c r="B220" s="175"/>
      <c r="C220" s="51" t="s">
        <v>124</v>
      </c>
      <c r="D220" s="47" t="s">
        <v>244</v>
      </c>
      <c r="E220" s="48">
        <f>SUM(E221:E222)</f>
        <v>68558</v>
      </c>
      <c r="N220" s="264"/>
    </row>
    <row r="221" spans="1:5" ht="16.5">
      <c r="A221" s="66"/>
      <c r="B221" s="68"/>
      <c r="C221" s="10" t="s">
        <v>72</v>
      </c>
      <c r="D221" s="12" t="s">
        <v>245</v>
      </c>
      <c r="E221" s="13">
        <v>36817</v>
      </c>
    </row>
    <row r="222" spans="1:9" ht="16.5">
      <c r="A222" s="66"/>
      <c r="B222" s="68"/>
      <c r="C222" s="10" t="s">
        <v>1464</v>
      </c>
      <c r="D222" s="12" t="s">
        <v>246</v>
      </c>
      <c r="E222" s="13">
        <v>31741</v>
      </c>
      <c r="I222" s="25">
        <f>SUM(E236-E224)</f>
        <v>0</v>
      </c>
    </row>
    <row r="223" spans="1:5" ht="16.5">
      <c r="A223" s="66"/>
      <c r="B223" s="68"/>
      <c r="C223" s="10" t="s">
        <v>125</v>
      </c>
      <c r="D223" s="12" t="s">
        <v>247</v>
      </c>
      <c r="E223" s="13"/>
    </row>
    <row r="224" spans="1:5" ht="16.5">
      <c r="A224" s="66"/>
      <c r="B224" s="68"/>
      <c r="C224" s="10"/>
      <c r="D224" s="69" t="s">
        <v>248</v>
      </c>
      <c r="E224" s="41">
        <f>SUM(E217+E219+E218)</f>
        <v>68558</v>
      </c>
    </row>
    <row r="225" spans="1:8" ht="16.5">
      <c r="A225" s="66"/>
      <c r="B225" s="65" t="s">
        <v>19</v>
      </c>
      <c r="C225" s="11"/>
      <c r="D225" s="1128" t="s">
        <v>250</v>
      </c>
      <c r="E225" s="1136"/>
      <c r="F225" s="25"/>
      <c r="G225" s="25" t="e">
        <f>SUM(#REF!-#REF!)</f>
        <v>#REF!</v>
      </c>
      <c r="H225" s="25" t="e">
        <f>SUM(#REF!-#REF!)</f>
        <v>#REF!</v>
      </c>
    </row>
    <row r="226" spans="1:14" s="115" customFormat="1" ht="16.5">
      <c r="A226" s="33"/>
      <c r="B226" s="65"/>
      <c r="C226" s="11" t="s">
        <v>20</v>
      </c>
      <c r="D226" s="12" t="s">
        <v>251</v>
      </c>
      <c r="E226" s="13">
        <v>45699</v>
      </c>
      <c r="F226" s="190"/>
      <c r="N226" s="263"/>
    </row>
    <row r="227" spans="1:5" ht="16.5">
      <c r="A227" s="66"/>
      <c r="B227" s="68"/>
      <c r="C227" s="11" t="s">
        <v>44</v>
      </c>
      <c r="D227" s="12" t="s">
        <v>35</v>
      </c>
      <c r="E227" s="13">
        <v>11900</v>
      </c>
    </row>
    <row r="228" spans="1:5" ht="16.5">
      <c r="A228" s="66"/>
      <c r="B228" s="68"/>
      <c r="C228" s="11" t="s">
        <v>45</v>
      </c>
      <c r="D228" s="12" t="s">
        <v>253</v>
      </c>
      <c r="E228" s="13">
        <v>10959</v>
      </c>
    </row>
    <row r="229" spans="1:14" s="115" customFormat="1" ht="16.5" hidden="1">
      <c r="A229" s="33"/>
      <c r="B229" s="65"/>
      <c r="C229" s="11" t="s">
        <v>49</v>
      </c>
      <c r="D229" s="17" t="s">
        <v>1460</v>
      </c>
      <c r="E229" s="18"/>
      <c r="F229" s="190"/>
      <c r="N229" s="263"/>
    </row>
    <row r="230" spans="1:5" ht="16.5" hidden="1">
      <c r="A230" s="66"/>
      <c r="B230" s="68"/>
      <c r="C230" s="11" t="s">
        <v>50</v>
      </c>
      <c r="D230" s="193" t="s">
        <v>251</v>
      </c>
      <c r="E230" s="13"/>
    </row>
    <row r="231" spans="1:5" ht="16.5" hidden="1">
      <c r="A231" s="66"/>
      <c r="B231" s="68"/>
      <c r="C231" s="11" t="s">
        <v>51</v>
      </c>
      <c r="D231" s="193" t="s">
        <v>35</v>
      </c>
      <c r="E231" s="13"/>
    </row>
    <row r="232" spans="1:5" ht="16.5" hidden="1">
      <c r="A232" s="66"/>
      <c r="B232" s="68"/>
      <c r="C232" s="11" t="s">
        <v>1434</v>
      </c>
      <c r="D232" s="193" t="s">
        <v>253</v>
      </c>
      <c r="E232" s="13"/>
    </row>
    <row r="233" spans="1:14" s="115" customFormat="1" ht="16.5">
      <c r="A233" s="33"/>
      <c r="B233" s="65"/>
      <c r="C233" s="198" t="s">
        <v>49</v>
      </c>
      <c r="D233" s="12" t="s">
        <v>256</v>
      </c>
      <c r="E233" s="18"/>
      <c r="F233" s="190"/>
      <c r="N233" s="263"/>
    </row>
    <row r="234" spans="1:14" s="115" customFormat="1" ht="16.5">
      <c r="A234" s="33"/>
      <c r="B234" s="65"/>
      <c r="C234" s="198" t="s">
        <v>50</v>
      </c>
      <c r="D234" s="12" t="s">
        <v>257</v>
      </c>
      <c r="E234" s="18"/>
      <c r="F234" s="190"/>
      <c r="N234" s="263"/>
    </row>
    <row r="235" spans="1:14" s="115" customFormat="1" ht="16.5">
      <c r="A235" s="33"/>
      <c r="B235" s="65"/>
      <c r="C235" s="198" t="s">
        <v>51</v>
      </c>
      <c r="D235" s="12" t="s">
        <v>260</v>
      </c>
      <c r="E235" s="18"/>
      <c r="F235" s="190"/>
      <c r="N235" s="263"/>
    </row>
    <row r="236" spans="1:5" ht="16.5">
      <c r="A236" s="66"/>
      <c r="B236" s="68"/>
      <c r="C236" s="11"/>
      <c r="D236" s="226" t="s">
        <v>261</v>
      </c>
      <c r="E236" s="41">
        <f>SUM(E226:E235)</f>
        <v>68558</v>
      </c>
    </row>
    <row r="237" spans="1:5" ht="17.25" thickBot="1">
      <c r="A237" s="66"/>
      <c r="B237" s="65" t="s">
        <v>22</v>
      </c>
      <c r="C237" s="16"/>
      <c r="D237" s="75" t="s">
        <v>266</v>
      </c>
      <c r="E237" s="85">
        <v>24</v>
      </c>
    </row>
    <row r="238" spans="1:5" ht="18" thickBot="1" thickTop="1">
      <c r="A238" s="63" t="s">
        <v>295</v>
      </c>
      <c r="B238" s="64"/>
      <c r="C238" s="201"/>
      <c r="D238" s="1131" t="s">
        <v>296</v>
      </c>
      <c r="E238" s="1140"/>
    </row>
    <row r="239" spans="1:5" ht="17.25" thickTop="1">
      <c r="A239" s="66"/>
      <c r="B239" s="65" t="s">
        <v>14</v>
      </c>
      <c r="C239" s="10"/>
      <c r="D239" s="1200" t="s">
        <v>240</v>
      </c>
      <c r="E239" s="1201"/>
    </row>
    <row r="240" spans="1:5" ht="16.5">
      <c r="A240" s="66"/>
      <c r="B240" s="68"/>
      <c r="C240" s="15" t="s">
        <v>16</v>
      </c>
      <c r="D240" s="12" t="s">
        <v>623</v>
      </c>
      <c r="E240" s="13"/>
    </row>
    <row r="241" spans="1:5" ht="15" customHeight="1">
      <c r="A241" s="66"/>
      <c r="B241" s="68"/>
      <c r="C241" s="15" t="s">
        <v>17</v>
      </c>
      <c r="D241" s="12" t="s">
        <v>1209</v>
      </c>
      <c r="E241" s="13"/>
    </row>
    <row r="242" spans="1:5" ht="16.5">
      <c r="A242" s="66"/>
      <c r="B242" s="68"/>
      <c r="C242" s="15" t="s">
        <v>36</v>
      </c>
      <c r="D242" s="12" t="s">
        <v>243</v>
      </c>
      <c r="E242" s="13">
        <f>SUM(E243+E246)</f>
        <v>73140</v>
      </c>
    </row>
    <row r="243" spans="1:14" s="52" customFormat="1" ht="16.5">
      <c r="A243" s="174"/>
      <c r="B243" s="175"/>
      <c r="C243" s="51" t="s">
        <v>124</v>
      </c>
      <c r="D243" s="47" t="s">
        <v>244</v>
      </c>
      <c r="E243" s="48">
        <f>SUM(E244:E245)</f>
        <v>73140</v>
      </c>
      <c r="N243" s="264"/>
    </row>
    <row r="244" spans="1:5" ht="16.5">
      <c r="A244" s="66"/>
      <c r="B244" s="68"/>
      <c r="C244" s="10" t="s">
        <v>72</v>
      </c>
      <c r="D244" s="12" t="s">
        <v>245</v>
      </c>
      <c r="E244" s="13">
        <v>38618</v>
      </c>
    </row>
    <row r="245" spans="1:9" ht="16.5">
      <c r="A245" s="66"/>
      <c r="B245" s="68"/>
      <c r="C245" s="10" t="s">
        <v>1464</v>
      </c>
      <c r="D245" s="12" t="s">
        <v>246</v>
      </c>
      <c r="E245" s="13">
        <v>34522</v>
      </c>
      <c r="F245" s="25"/>
      <c r="G245" s="25" t="e">
        <f>SUM(#REF!-#REF!)</f>
        <v>#REF!</v>
      </c>
      <c r="H245" s="25"/>
      <c r="I245" s="25">
        <f>SUM(E255-E247)</f>
        <v>0</v>
      </c>
    </row>
    <row r="246" spans="1:8" ht="16.5">
      <c r="A246" s="66"/>
      <c r="B246" s="68"/>
      <c r="C246" s="10" t="s">
        <v>125</v>
      </c>
      <c r="D246" s="12" t="s">
        <v>247</v>
      </c>
      <c r="E246" s="13"/>
      <c r="H246" s="25" t="e">
        <f>SUM(#REF!-#REF!)</f>
        <v>#REF!</v>
      </c>
    </row>
    <row r="247" spans="1:5" ht="16.5">
      <c r="A247" s="66"/>
      <c r="B247" s="68"/>
      <c r="C247" s="10"/>
      <c r="D247" s="69" t="s">
        <v>248</v>
      </c>
      <c r="E247" s="41">
        <f>SUM(E240+E242+E241)</f>
        <v>73140</v>
      </c>
    </row>
    <row r="248" spans="1:6" ht="16.5">
      <c r="A248" s="66"/>
      <c r="B248" s="65" t="s">
        <v>19</v>
      </c>
      <c r="C248" s="11"/>
      <c r="D248" s="1128" t="s">
        <v>250</v>
      </c>
      <c r="E248" s="1136"/>
      <c r="F248" s="25"/>
    </row>
    <row r="249" spans="1:6" ht="16.5">
      <c r="A249" s="66"/>
      <c r="B249" s="65"/>
      <c r="C249" s="11" t="s">
        <v>20</v>
      </c>
      <c r="D249" s="12" t="s">
        <v>251</v>
      </c>
      <c r="E249" s="13">
        <v>49157</v>
      </c>
      <c r="F249" s="25"/>
    </row>
    <row r="250" spans="1:14" s="115" customFormat="1" ht="16.5">
      <c r="A250" s="33"/>
      <c r="B250" s="65"/>
      <c r="C250" s="11" t="s">
        <v>44</v>
      </c>
      <c r="D250" s="12" t="s">
        <v>35</v>
      </c>
      <c r="E250" s="13">
        <v>12892</v>
      </c>
      <c r="F250" s="190"/>
      <c r="N250" s="263"/>
    </row>
    <row r="251" spans="1:5" ht="16.5">
      <c r="A251" s="66"/>
      <c r="B251" s="68"/>
      <c r="C251" s="11" t="s">
        <v>45</v>
      </c>
      <c r="D251" s="12" t="s">
        <v>253</v>
      </c>
      <c r="E251" s="13">
        <v>11091</v>
      </c>
    </row>
    <row r="252" spans="1:14" s="115" customFormat="1" ht="16.5">
      <c r="A252" s="33"/>
      <c r="B252" s="65"/>
      <c r="C252" s="11" t="s">
        <v>49</v>
      </c>
      <c r="D252" s="12" t="s">
        <v>256</v>
      </c>
      <c r="E252" s="18"/>
      <c r="F252" s="190"/>
      <c r="N252" s="263"/>
    </row>
    <row r="253" spans="1:14" s="115" customFormat="1" ht="16.5">
      <c r="A253" s="33"/>
      <c r="B253" s="65"/>
      <c r="C253" s="11" t="s">
        <v>50</v>
      </c>
      <c r="D253" s="12" t="s">
        <v>257</v>
      </c>
      <c r="E253" s="18"/>
      <c r="F253" s="190"/>
      <c r="N253" s="263"/>
    </row>
    <row r="254" spans="1:14" s="115" customFormat="1" ht="16.5">
      <c r="A254" s="33"/>
      <c r="B254" s="65"/>
      <c r="C254" s="11" t="s">
        <v>51</v>
      </c>
      <c r="D254" s="12" t="s">
        <v>260</v>
      </c>
      <c r="E254" s="18"/>
      <c r="F254" s="190"/>
      <c r="N254" s="263"/>
    </row>
    <row r="255" spans="1:5" ht="16.5">
      <c r="A255" s="66"/>
      <c r="B255" s="68"/>
      <c r="C255" s="11"/>
      <c r="D255" s="72" t="s">
        <v>261</v>
      </c>
      <c r="E255" s="41">
        <f>SUM(E249:E254)</f>
        <v>73140</v>
      </c>
    </row>
    <row r="256" spans="1:5" ht="17.25" thickBot="1">
      <c r="A256" s="66"/>
      <c r="B256" s="65" t="s">
        <v>22</v>
      </c>
      <c r="C256" s="16"/>
      <c r="D256" s="75" t="s">
        <v>266</v>
      </c>
      <c r="E256" s="76">
        <v>25</v>
      </c>
    </row>
    <row r="257" spans="1:5" ht="18" thickBot="1" thickTop="1">
      <c r="A257" s="63" t="s">
        <v>297</v>
      </c>
      <c r="B257" s="64"/>
      <c r="C257" s="201"/>
      <c r="D257" s="1131" t="s">
        <v>708</v>
      </c>
      <c r="E257" s="1140"/>
    </row>
    <row r="258" spans="1:5" ht="17.25" thickTop="1">
      <c r="A258" s="66"/>
      <c r="B258" s="65" t="s">
        <v>14</v>
      </c>
      <c r="C258" s="10"/>
      <c r="D258" s="1200" t="s">
        <v>240</v>
      </c>
      <c r="E258" s="1201"/>
    </row>
    <row r="259" spans="1:5" ht="16.5">
      <c r="A259" s="66"/>
      <c r="B259" s="68"/>
      <c r="C259" s="15" t="s">
        <v>16</v>
      </c>
      <c r="D259" s="12" t="s">
        <v>623</v>
      </c>
      <c r="E259" s="13">
        <f>SUM(E260:E267)</f>
        <v>180592</v>
      </c>
    </row>
    <row r="260" spans="1:5" ht="16.5">
      <c r="A260" s="66"/>
      <c r="B260" s="68"/>
      <c r="C260" s="10" t="s">
        <v>309</v>
      </c>
      <c r="D260" s="193" t="s">
        <v>315</v>
      </c>
      <c r="E260" s="13">
        <v>24504</v>
      </c>
    </row>
    <row r="261" spans="1:5" ht="16.5">
      <c r="A261" s="66"/>
      <c r="B261" s="68"/>
      <c r="C261" s="10" t="s">
        <v>627</v>
      </c>
      <c r="D261" s="193" t="s">
        <v>316</v>
      </c>
      <c r="E261" s="13">
        <v>25244</v>
      </c>
    </row>
    <row r="262" spans="1:5" ht="16.5">
      <c r="A262" s="66"/>
      <c r="B262" s="68"/>
      <c r="C262" s="10" t="s">
        <v>628</v>
      </c>
      <c r="D262" s="193" t="s">
        <v>317</v>
      </c>
      <c r="E262" s="13">
        <v>11840</v>
      </c>
    </row>
    <row r="263" spans="1:5" ht="16.5">
      <c r="A263" s="66"/>
      <c r="B263" s="68"/>
      <c r="C263" s="10" t="s">
        <v>629</v>
      </c>
      <c r="D263" s="193" t="s">
        <v>318</v>
      </c>
      <c r="E263" s="13">
        <v>4306</v>
      </c>
    </row>
    <row r="264" spans="1:5" ht="16.5">
      <c r="A264" s="66"/>
      <c r="B264" s="68"/>
      <c r="C264" s="10" t="s">
        <v>630</v>
      </c>
      <c r="D264" s="193" t="s">
        <v>319</v>
      </c>
      <c r="E264" s="13">
        <v>9052</v>
      </c>
    </row>
    <row r="265" spans="1:5" ht="16.5">
      <c r="A265" s="66"/>
      <c r="B265" s="68"/>
      <c r="C265" s="10" t="s">
        <v>631</v>
      </c>
      <c r="D265" s="193" t="s">
        <v>320</v>
      </c>
      <c r="E265" s="13">
        <v>6815</v>
      </c>
    </row>
    <row r="266" spans="1:5" ht="16.5">
      <c r="A266" s="66"/>
      <c r="B266" s="68"/>
      <c r="C266" s="10" t="s">
        <v>632</v>
      </c>
      <c r="D266" s="193" t="s">
        <v>321</v>
      </c>
      <c r="E266" s="13">
        <v>62712</v>
      </c>
    </row>
    <row r="267" spans="1:5" ht="16.5">
      <c r="A267" s="66"/>
      <c r="B267" s="68"/>
      <c r="C267" s="10" t="s">
        <v>633</v>
      </c>
      <c r="D267" s="193" t="s">
        <v>184</v>
      </c>
      <c r="E267" s="13">
        <v>36119</v>
      </c>
    </row>
    <row r="268" spans="1:5" ht="15" customHeight="1">
      <c r="A268" s="66"/>
      <c r="B268" s="68"/>
      <c r="C268" s="15" t="s">
        <v>17</v>
      </c>
      <c r="D268" s="12" t="s">
        <v>1209</v>
      </c>
      <c r="E268" s="13"/>
    </row>
    <row r="269" spans="1:5" ht="16.5">
      <c r="A269" s="66"/>
      <c r="B269" s="68"/>
      <c r="C269" s="15" t="s">
        <v>36</v>
      </c>
      <c r="D269" s="12" t="s">
        <v>243</v>
      </c>
      <c r="E269" s="13">
        <f>SUM(E270+E273)</f>
        <v>54592</v>
      </c>
    </row>
    <row r="270" spans="1:14" s="52" customFormat="1" ht="16.5">
      <c r="A270" s="174"/>
      <c r="B270" s="175"/>
      <c r="C270" s="51" t="s">
        <v>124</v>
      </c>
      <c r="D270" s="47" t="s">
        <v>244</v>
      </c>
      <c r="E270" s="48">
        <f>SUM(E271:E272)</f>
        <v>36592</v>
      </c>
      <c r="N270" s="264"/>
    </row>
    <row r="271" spans="1:5" ht="16.5">
      <c r="A271" s="66"/>
      <c r="B271" s="68"/>
      <c r="C271" s="10" t="s">
        <v>72</v>
      </c>
      <c r="D271" s="12" t="s">
        <v>245</v>
      </c>
      <c r="E271" s="13">
        <v>35192</v>
      </c>
    </row>
    <row r="272" spans="1:9" ht="16.5">
      <c r="A272" s="66"/>
      <c r="B272" s="68"/>
      <c r="C272" s="10" t="s">
        <v>1464</v>
      </c>
      <c r="D272" s="12" t="s">
        <v>246</v>
      </c>
      <c r="E272" s="13">
        <v>1400</v>
      </c>
      <c r="F272" s="25"/>
      <c r="G272" s="25" t="e">
        <f>SUM(#REF!-#REF!)</f>
        <v>#REF!</v>
      </c>
      <c r="H272" s="25" t="e">
        <f>SUM(#REF!-#REF!)</f>
        <v>#REF!</v>
      </c>
      <c r="I272" s="25">
        <f>SUM(E282-E274)</f>
        <v>0</v>
      </c>
    </row>
    <row r="273" spans="1:5" ht="16.5">
      <c r="A273" s="66"/>
      <c r="B273" s="68"/>
      <c r="C273" s="10" t="s">
        <v>125</v>
      </c>
      <c r="D273" s="12" t="s">
        <v>247</v>
      </c>
      <c r="E273" s="13">
        <v>18000</v>
      </c>
    </row>
    <row r="274" spans="1:5" ht="16.5">
      <c r="A274" s="66"/>
      <c r="B274" s="68"/>
      <c r="C274" s="10"/>
      <c r="D274" s="69" t="s">
        <v>248</v>
      </c>
      <c r="E274" s="41">
        <f>SUM(E269+E259+E268)</f>
        <v>235184</v>
      </c>
    </row>
    <row r="275" spans="1:5" ht="16.5">
      <c r="A275" s="66"/>
      <c r="B275" s="65" t="s">
        <v>19</v>
      </c>
      <c r="C275" s="11"/>
      <c r="D275" s="1128" t="s">
        <v>250</v>
      </c>
      <c r="E275" s="1136"/>
    </row>
    <row r="276" spans="1:6" ht="16.5">
      <c r="A276" s="66"/>
      <c r="B276" s="68"/>
      <c r="C276" s="11" t="s">
        <v>20</v>
      </c>
      <c r="D276" s="12" t="s">
        <v>251</v>
      </c>
      <c r="E276" s="13">
        <v>30829</v>
      </c>
      <c r="F276" s="25"/>
    </row>
    <row r="277" spans="1:6" ht="16.5">
      <c r="A277" s="66"/>
      <c r="B277" s="68"/>
      <c r="C277" s="11" t="s">
        <v>44</v>
      </c>
      <c r="D277" s="12" t="s">
        <v>35</v>
      </c>
      <c r="E277" s="13">
        <v>7776</v>
      </c>
      <c r="F277" s="25"/>
    </row>
    <row r="278" spans="1:6" ht="16.5">
      <c r="A278" s="66"/>
      <c r="B278" s="68"/>
      <c r="C278" s="11" t="s">
        <v>45</v>
      </c>
      <c r="D278" s="12" t="s">
        <v>253</v>
      </c>
      <c r="E278" s="13">
        <v>178579</v>
      </c>
      <c r="F278" s="25"/>
    </row>
    <row r="279" spans="1:6" ht="16.5">
      <c r="A279" s="66"/>
      <c r="B279" s="68"/>
      <c r="C279" s="11" t="s">
        <v>46</v>
      </c>
      <c r="D279" s="12" t="s">
        <v>256</v>
      </c>
      <c r="E279" s="13"/>
      <c r="F279" s="25"/>
    </row>
    <row r="280" spans="1:6" ht="16.5">
      <c r="A280" s="66"/>
      <c r="B280" s="68"/>
      <c r="C280" s="11" t="s">
        <v>50</v>
      </c>
      <c r="D280" s="12" t="s">
        <v>257</v>
      </c>
      <c r="E280" s="13">
        <v>18000</v>
      </c>
      <c r="F280" s="25"/>
    </row>
    <row r="281" spans="1:6" ht="16.5">
      <c r="A281" s="66"/>
      <c r="B281" s="68"/>
      <c r="C281" s="11" t="s">
        <v>51</v>
      </c>
      <c r="D281" s="12" t="s">
        <v>260</v>
      </c>
      <c r="E281" s="13"/>
      <c r="F281" s="25"/>
    </row>
    <row r="282" spans="1:6" ht="16.5">
      <c r="A282" s="66"/>
      <c r="B282" s="68"/>
      <c r="C282" s="11"/>
      <c r="D282" s="72" t="s">
        <v>261</v>
      </c>
      <c r="E282" s="41">
        <f>SUM(E276:E281)</f>
        <v>235184</v>
      </c>
      <c r="F282" s="25"/>
    </row>
    <row r="283" spans="1:5" ht="17.25" thickBot="1">
      <c r="A283" s="66"/>
      <c r="B283" s="65" t="s">
        <v>22</v>
      </c>
      <c r="C283" s="16"/>
      <c r="D283" s="75" t="s">
        <v>266</v>
      </c>
      <c r="E283" s="76">
        <v>23</v>
      </c>
    </row>
    <row r="284" spans="1:5" ht="18" thickBot="1" thickTop="1">
      <c r="A284" s="63" t="s">
        <v>298</v>
      </c>
      <c r="B284" s="64"/>
      <c r="C284" s="201"/>
      <c r="D284" s="1131" t="s">
        <v>323</v>
      </c>
      <c r="E284" s="1140"/>
    </row>
    <row r="285" spans="1:5" ht="17.25" thickTop="1">
      <c r="A285" s="66"/>
      <c r="B285" s="65" t="s">
        <v>14</v>
      </c>
      <c r="C285" s="10"/>
      <c r="D285" s="1200" t="s">
        <v>240</v>
      </c>
      <c r="E285" s="1201"/>
    </row>
    <row r="286" spans="1:5" ht="16.5">
      <c r="A286" s="66"/>
      <c r="B286" s="68"/>
      <c r="C286" s="15" t="s">
        <v>16</v>
      </c>
      <c r="D286" s="12" t="s">
        <v>623</v>
      </c>
      <c r="E286" s="13">
        <f>SUM(E287:E290)</f>
        <v>2788</v>
      </c>
    </row>
    <row r="287" spans="1:5" ht="16.5">
      <c r="A287" s="66"/>
      <c r="B287" s="68"/>
      <c r="C287" s="10" t="s">
        <v>309</v>
      </c>
      <c r="D287" s="193" t="s">
        <v>324</v>
      </c>
      <c r="E287" s="13">
        <v>2230</v>
      </c>
    </row>
    <row r="288" spans="1:5" ht="16.5">
      <c r="A288" s="66"/>
      <c r="B288" s="68"/>
      <c r="C288" s="10"/>
      <c r="D288" s="193" t="s">
        <v>1166</v>
      </c>
      <c r="E288" s="13"/>
    </row>
    <row r="289" spans="1:5" ht="16.5">
      <c r="A289" s="66"/>
      <c r="B289" s="68"/>
      <c r="C289" s="10" t="s">
        <v>627</v>
      </c>
      <c r="D289" s="193" t="s">
        <v>325</v>
      </c>
      <c r="E289" s="13"/>
    </row>
    <row r="290" spans="1:5" ht="16.5">
      <c r="A290" s="66"/>
      <c r="B290" s="68"/>
      <c r="C290" s="10" t="s">
        <v>628</v>
      </c>
      <c r="D290" s="193" t="s">
        <v>184</v>
      </c>
      <c r="E290" s="13">
        <v>558</v>
      </c>
    </row>
    <row r="291" spans="1:5" ht="15" customHeight="1">
      <c r="A291" s="66"/>
      <c r="B291" s="68"/>
      <c r="C291" s="15" t="s">
        <v>17</v>
      </c>
      <c r="D291" s="12" t="s">
        <v>1209</v>
      </c>
      <c r="E291" s="13"/>
    </row>
    <row r="292" spans="1:5" ht="16.5">
      <c r="A292" s="66"/>
      <c r="B292" s="68"/>
      <c r="C292" s="15" t="s">
        <v>36</v>
      </c>
      <c r="D292" s="12" t="s">
        <v>243</v>
      </c>
      <c r="E292" s="13">
        <f>SUM(E293+E296)</f>
        <v>31466</v>
      </c>
    </row>
    <row r="293" spans="1:14" s="52" customFormat="1" ht="16.5">
      <c r="A293" s="174"/>
      <c r="B293" s="175"/>
      <c r="C293" s="51" t="s">
        <v>124</v>
      </c>
      <c r="D293" s="47" t="s">
        <v>244</v>
      </c>
      <c r="E293" s="48">
        <f>SUM(E294:E295)</f>
        <v>31466</v>
      </c>
      <c r="N293" s="264"/>
    </row>
    <row r="294" spans="1:5" ht="16.5">
      <c r="A294" s="66"/>
      <c r="B294" s="68"/>
      <c r="C294" s="10" t="s">
        <v>72</v>
      </c>
      <c r="D294" s="12" t="s">
        <v>245</v>
      </c>
      <c r="E294" s="13">
        <v>12489</v>
      </c>
    </row>
    <row r="295" spans="1:5" ht="16.5">
      <c r="A295" s="66"/>
      <c r="B295" s="68"/>
      <c r="C295" s="10" t="s">
        <v>1464</v>
      </c>
      <c r="D295" s="12" t="s">
        <v>246</v>
      </c>
      <c r="E295" s="13">
        <v>18977</v>
      </c>
    </row>
    <row r="296" spans="1:9" ht="16.5">
      <c r="A296" s="66"/>
      <c r="B296" s="68"/>
      <c r="C296" s="10" t="s">
        <v>125</v>
      </c>
      <c r="D296" s="12" t="s">
        <v>247</v>
      </c>
      <c r="E296" s="13"/>
      <c r="I296" s="25">
        <f>SUM(E305-E297)</f>
        <v>0</v>
      </c>
    </row>
    <row r="297" spans="1:5" ht="16.5">
      <c r="A297" s="66"/>
      <c r="B297" s="68"/>
      <c r="C297" s="10"/>
      <c r="D297" s="69" t="s">
        <v>248</v>
      </c>
      <c r="E297" s="41">
        <f>SUM(E286+E292+E291)</f>
        <v>34254</v>
      </c>
    </row>
    <row r="298" spans="1:5" ht="16.5">
      <c r="A298" s="66"/>
      <c r="B298" s="65" t="s">
        <v>19</v>
      </c>
      <c r="C298" s="11"/>
      <c r="D298" s="1128" t="s">
        <v>250</v>
      </c>
      <c r="E298" s="1136"/>
    </row>
    <row r="299" spans="1:5" ht="16.5">
      <c r="A299" s="66"/>
      <c r="B299" s="68"/>
      <c r="C299" s="11" t="s">
        <v>20</v>
      </c>
      <c r="D299" s="12" t="s">
        <v>251</v>
      </c>
      <c r="E299" s="13">
        <v>21246</v>
      </c>
    </row>
    <row r="300" spans="1:8" ht="16.5">
      <c r="A300" s="66"/>
      <c r="B300" s="68"/>
      <c r="C300" s="11" t="s">
        <v>44</v>
      </c>
      <c r="D300" s="12" t="s">
        <v>35</v>
      </c>
      <c r="E300" s="13">
        <v>5457</v>
      </c>
      <c r="H300" s="25" t="e">
        <f>SUM(#REF!-#REF!)</f>
        <v>#REF!</v>
      </c>
    </row>
    <row r="301" spans="1:5" ht="16.5">
      <c r="A301" s="66"/>
      <c r="B301" s="68"/>
      <c r="C301" s="11" t="s">
        <v>45</v>
      </c>
      <c r="D301" s="12" t="s">
        <v>253</v>
      </c>
      <c r="E301" s="13">
        <v>7551</v>
      </c>
    </row>
    <row r="302" spans="1:5" ht="16.5">
      <c r="A302" s="66"/>
      <c r="B302" s="68"/>
      <c r="C302" s="11" t="s">
        <v>46</v>
      </c>
      <c r="D302" s="12" t="s">
        <v>256</v>
      </c>
      <c r="E302" s="13"/>
    </row>
    <row r="303" spans="1:5" ht="16.5">
      <c r="A303" s="66"/>
      <c r="B303" s="68"/>
      <c r="C303" s="11" t="s">
        <v>50</v>
      </c>
      <c r="D303" s="12" t="s">
        <v>257</v>
      </c>
      <c r="E303" s="13"/>
    </row>
    <row r="304" spans="1:5" ht="16.5">
      <c r="A304" s="66"/>
      <c r="B304" s="68"/>
      <c r="C304" s="11" t="s">
        <v>51</v>
      </c>
      <c r="D304" s="12" t="s">
        <v>260</v>
      </c>
      <c r="E304" s="13"/>
    </row>
    <row r="305" spans="1:5" ht="16.5">
      <c r="A305" s="66"/>
      <c r="B305" s="68"/>
      <c r="C305" s="11"/>
      <c r="D305" s="72" t="s">
        <v>261</v>
      </c>
      <c r="E305" s="176">
        <f>SUM(E299:E304)</f>
        <v>34254</v>
      </c>
    </row>
    <row r="306" spans="1:5" ht="17.25" thickBot="1">
      <c r="A306" s="66"/>
      <c r="B306" s="65" t="s">
        <v>22</v>
      </c>
      <c r="C306" s="16"/>
      <c r="D306" s="75" t="s">
        <v>326</v>
      </c>
      <c r="E306" s="205">
        <v>13.5</v>
      </c>
    </row>
    <row r="307" spans="1:5" ht="18" thickBot="1" thickTop="1">
      <c r="A307" s="63" t="s">
        <v>313</v>
      </c>
      <c r="B307" s="64"/>
      <c r="C307" s="201"/>
      <c r="D307" s="1131" t="s">
        <v>328</v>
      </c>
      <c r="E307" s="1140"/>
    </row>
    <row r="308" spans="1:5" ht="17.25" thickTop="1">
      <c r="A308" s="66"/>
      <c r="B308" s="65" t="s">
        <v>14</v>
      </c>
      <c r="C308" s="10"/>
      <c r="D308" s="253" t="s">
        <v>240</v>
      </c>
      <c r="E308" s="1203"/>
    </row>
    <row r="309" spans="1:5" ht="16.5">
      <c r="A309" s="66"/>
      <c r="B309" s="68"/>
      <c r="C309" s="15" t="s">
        <v>16</v>
      </c>
      <c r="D309" s="12" t="s">
        <v>623</v>
      </c>
      <c r="E309" s="13"/>
    </row>
    <row r="310" spans="1:5" ht="16.5">
      <c r="A310" s="66"/>
      <c r="B310" s="68"/>
      <c r="C310" s="15" t="s">
        <v>17</v>
      </c>
      <c r="D310" s="12" t="s">
        <v>1209</v>
      </c>
      <c r="E310" s="13"/>
    </row>
    <row r="311" spans="1:5" ht="15" customHeight="1">
      <c r="A311" s="66"/>
      <c r="B311" s="68"/>
      <c r="C311" s="15" t="s">
        <v>36</v>
      </c>
      <c r="D311" s="12" t="s">
        <v>243</v>
      </c>
      <c r="E311" s="13">
        <f>SUM(E312+E315)</f>
        <v>78777</v>
      </c>
    </row>
    <row r="312" spans="1:5" ht="16.5">
      <c r="A312" s="174"/>
      <c r="B312" s="175"/>
      <c r="C312" s="51" t="s">
        <v>124</v>
      </c>
      <c r="D312" s="47" t="s">
        <v>244</v>
      </c>
      <c r="E312" s="48">
        <f>SUM(E313:E314)</f>
        <v>78777</v>
      </c>
    </row>
    <row r="313" spans="1:14" s="52" customFormat="1" ht="16.5">
      <c r="A313" s="66"/>
      <c r="B313" s="68"/>
      <c r="C313" s="10" t="s">
        <v>72</v>
      </c>
      <c r="D313" s="12" t="s">
        <v>245</v>
      </c>
      <c r="E313" s="13">
        <v>61425</v>
      </c>
      <c r="N313" s="264"/>
    </row>
    <row r="314" spans="1:5" ht="16.5">
      <c r="A314" s="66"/>
      <c r="B314" s="68"/>
      <c r="C314" s="10" t="s">
        <v>1464</v>
      </c>
      <c r="D314" s="12" t="s">
        <v>246</v>
      </c>
      <c r="E314" s="13">
        <v>17352</v>
      </c>
    </row>
    <row r="315" spans="1:6" ht="16.5">
      <c r="A315" s="66"/>
      <c r="B315" s="68"/>
      <c r="C315" s="10" t="s">
        <v>125</v>
      </c>
      <c r="D315" s="12" t="s">
        <v>1429</v>
      </c>
      <c r="E315" s="13"/>
      <c r="F315" s="25"/>
    </row>
    <row r="316" spans="1:6" ht="16.5">
      <c r="A316" s="66"/>
      <c r="B316" s="68"/>
      <c r="C316" s="10" t="s">
        <v>1408</v>
      </c>
      <c r="D316" s="12" t="s">
        <v>231</v>
      </c>
      <c r="E316" s="13">
        <v>7844</v>
      </c>
      <c r="F316" s="25"/>
    </row>
    <row r="317" spans="1:8" ht="16.5">
      <c r="A317" s="66"/>
      <c r="B317" s="68"/>
      <c r="C317" s="10"/>
      <c r="D317" s="69" t="s">
        <v>248</v>
      </c>
      <c r="E317" s="41">
        <f>SUM(E310+E311+E316)</f>
        <v>86621</v>
      </c>
      <c r="F317" s="25"/>
      <c r="G317" s="25" t="e">
        <f>SUM(#REF!-#REF!)</f>
        <v>#REF!</v>
      </c>
      <c r="H317" s="25" t="e">
        <f>SUM(#REF!-#REF!)</f>
        <v>#REF!</v>
      </c>
    </row>
    <row r="318" spans="1:5" ht="16.5">
      <c r="A318" s="66"/>
      <c r="B318" s="65" t="s">
        <v>19</v>
      </c>
      <c r="C318" s="11"/>
      <c r="D318" s="1128" t="s">
        <v>250</v>
      </c>
      <c r="E318" s="1136"/>
    </row>
    <row r="319" spans="1:5" ht="16.5">
      <c r="A319" s="66"/>
      <c r="B319" s="68"/>
      <c r="C319" s="11" t="s">
        <v>20</v>
      </c>
      <c r="D319" s="12" t="s">
        <v>251</v>
      </c>
      <c r="E319" s="13">
        <v>58003</v>
      </c>
    </row>
    <row r="320" spans="1:5" ht="16.5">
      <c r="A320" s="66"/>
      <c r="B320" s="68"/>
      <c r="C320" s="11" t="s">
        <v>44</v>
      </c>
      <c r="D320" s="12" t="s">
        <v>35</v>
      </c>
      <c r="E320" s="13">
        <v>14486</v>
      </c>
    </row>
    <row r="321" spans="1:5" ht="16.5">
      <c r="A321" s="66"/>
      <c r="B321" s="68"/>
      <c r="C321" s="11" t="s">
        <v>45</v>
      </c>
      <c r="D321" s="12" t="s">
        <v>253</v>
      </c>
      <c r="E321" s="13">
        <v>10929</v>
      </c>
    </row>
    <row r="322" spans="1:8" ht="16.5">
      <c r="A322" s="66"/>
      <c r="B322" s="68"/>
      <c r="C322" s="11" t="s">
        <v>49</v>
      </c>
      <c r="D322" s="12" t="s">
        <v>256</v>
      </c>
      <c r="E322" s="13"/>
      <c r="H322" s="25" t="e">
        <f>SUM(#REF!)</f>
        <v>#REF!</v>
      </c>
    </row>
    <row r="323" spans="1:5" ht="16.5">
      <c r="A323" s="66"/>
      <c r="B323" s="68"/>
      <c r="C323" s="11" t="s">
        <v>50</v>
      </c>
      <c r="D323" s="12" t="s">
        <v>257</v>
      </c>
      <c r="E323" s="13"/>
    </row>
    <row r="324" spans="1:5" ht="16.5">
      <c r="A324" s="66"/>
      <c r="B324" s="68"/>
      <c r="C324" s="11" t="s">
        <v>51</v>
      </c>
      <c r="D324" s="12" t="s">
        <v>260</v>
      </c>
      <c r="E324" s="13"/>
    </row>
    <row r="325" spans="1:5" ht="16.5">
      <c r="A325" s="66"/>
      <c r="B325" s="68"/>
      <c r="C325" s="11" t="s">
        <v>259</v>
      </c>
      <c r="D325" s="12" t="s">
        <v>232</v>
      </c>
      <c r="E325" s="13">
        <v>3203</v>
      </c>
    </row>
    <row r="326" spans="1:5" ht="16.5">
      <c r="A326" s="66"/>
      <c r="B326" s="68"/>
      <c r="C326" s="11"/>
      <c r="D326" s="72" t="s">
        <v>261</v>
      </c>
      <c r="E326" s="41">
        <f>SUM(E319:E325)</f>
        <v>86621</v>
      </c>
    </row>
    <row r="327" spans="1:5" ht="17.25" thickBot="1">
      <c r="A327" s="66"/>
      <c r="B327" s="65" t="s">
        <v>22</v>
      </c>
      <c r="C327" s="16"/>
      <c r="D327" s="75" t="s">
        <v>266</v>
      </c>
      <c r="E327" s="76">
        <v>26</v>
      </c>
    </row>
    <row r="328" spans="1:5" ht="18" thickBot="1" thickTop="1">
      <c r="A328" s="63" t="s">
        <v>314</v>
      </c>
      <c r="B328" s="64"/>
      <c r="C328" s="201"/>
      <c r="D328" s="1131" t="s">
        <v>332</v>
      </c>
      <c r="E328" s="1140"/>
    </row>
    <row r="329" spans="1:5" ht="17.25" thickTop="1">
      <c r="A329" s="66"/>
      <c r="B329" s="65" t="s">
        <v>14</v>
      </c>
      <c r="C329" s="10"/>
      <c r="D329" s="1200" t="s">
        <v>240</v>
      </c>
      <c r="E329" s="1201"/>
    </row>
    <row r="330" spans="1:5" ht="16.5">
      <c r="A330" s="66"/>
      <c r="B330" s="68"/>
      <c r="C330" s="15" t="s">
        <v>16</v>
      </c>
      <c r="D330" s="12" t="s">
        <v>623</v>
      </c>
      <c r="E330" s="13">
        <f>SUM(E331:E335)</f>
        <v>5962</v>
      </c>
    </row>
    <row r="331" spans="1:5" ht="16.5">
      <c r="A331" s="66"/>
      <c r="B331" s="68"/>
      <c r="C331" s="10" t="s">
        <v>54</v>
      </c>
      <c r="D331" s="193" t="s">
        <v>333</v>
      </c>
      <c r="E331" s="13">
        <v>1695</v>
      </c>
    </row>
    <row r="332" spans="1:5" ht="16.5">
      <c r="A332" s="66"/>
      <c r="B332" s="68"/>
      <c r="C332" s="10" t="s">
        <v>627</v>
      </c>
      <c r="D332" s="193" t="s">
        <v>334</v>
      </c>
      <c r="E332" s="13">
        <v>3270</v>
      </c>
    </row>
    <row r="333" spans="1:5" ht="16.5">
      <c r="A333" s="66"/>
      <c r="B333" s="68"/>
      <c r="C333" s="10" t="s">
        <v>628</v>
      </c>
      <c r="D333" s="193" t="s">
        <v>134</v>
      </c>
      <c r="E333" s="13"/>
    </row>
    <row r="334" spans="1:5" ht="16.5">
      <c r="A334" s="66"/>
      <c r="B334" s="68"/>
      <c r="C334" s="10" t="s">
        <v>629</v>
      </c>
      <c r="D334" s="193" t="s">
        <v>1212</v>
      </c>
      <c r="E334" s="13"/>
    </row>
    <row r="335" spans="1:5" ht="16.5">
      <c r="A335" s="66"/>
      <c r="B335" s="68"/>
      <c r="C335" s="10" t="s">
        <v>630</v>
      </c>
      <c r="D335" s="193" t="s">
        <v>184</v>
      </c>
      <c r="E335" s="13">
        <v>997</v>
      </c>
    </row>
    <row r="336" spans="1:5" ht="15" customHeight="1">
      <c r="A336" s="66"/>
      <c r="B336" s="68"/>
      <c r="C336" s="15" t="s">
        <v>17</v>
      </c>
      <c r="D336" s="12" t="s">
        <v>1209</v>
      </c>
      <c r="E336" s="13"/>
    </row>
    <row r="337" spans="1:5" ht="16.5">
      <c r="A337" s="66"/>
      <c r="B337" s="68"/>
      <c r="C337" s="15" t="s">
        <v>36</v>
      </c>
      <c r="D337" s="12" t="s">
        <v>243</v>
      </c>
      <c r="E337" s="13">
        <f>SUM(E338+E341)</f>
        <v>30612</v>
      </c>
    </row>
    <row r="338" spans="1:14" s="52" customFormat="1" ht="16.5">
      <c r="A338" s="174"/>
      <c r="B338" s="175"/>
      <c r="C338" s="51" t="s">
        <v>124</v>
      </c>
      <c r="D338" s="47" t="s">
        <v>244</v>
      </c>
      <c r="E338" s="48">
        <f>SUM(E339:E340)</f>
        <v>30612</v>
      </c>
      <c r="N338" s="264"/>
    </row>
    <row r="339" spans="1:5" ht="16.5">
      <c r="A339" s="66"/>
      <c r="B339" s="68"/>
      <c r="C339" s="10" t="s">
        <v>72</v>
      </c>
      <c r="D339" s="12" t="s">
        <v>245</v>
      </c>
      <c r="E339" s="13">
        <v>10384</v>
      </c>
    </row>
    <row r="340" spans="1:5" ht="16.5">
      <c r="A340" s="66"/>
      <c r="B340" s="68"/>
      <c r="C340" s="10" t="s">
        <v>1464</v>
      </c>
      <c r="D340" s="12" t="s">
        <v>246</v>
      </c>
      <c r="E340" s="13">
        <v>20228</v>
      </c>
    </row>
    <row r="341" spans="1:5" ht="16.5">
      <c r="A341" s="66"/>
      <c r="B341" s="68"/>
      <c r="C341" s="10" t="s">
        <v>1406</v>
      </c>
      <c r="D341" s="12" t="s">
        <v>1429</v>
      </c>
      <c r="E341" s="13"/>
    </row>
    <row r="342" spans="1:5" ht="16.5">
      <c r="A342" s="66"/>
      <c r="B342" s="68"/>
      <c r="C342" s="10" t="s">
        <v>1408</v>
      </c>
      <c r="D342" s="12" t="s">
        <v>231</v>
      </c>
      <c r="E342" s="13">
        <v>3160</v>
      </c>
    </row>
    <row r="343" spans="1:8" ht="16.5">
      <c r="A343" s="66"/>
      <c r="B343" s="68"/>
      <c r="C343" s="10"/>
      <c r="D343" s="69" t="s">
        <v>248</v>
      </c>
      <c r="E343" s="41">
        <f>SUM(E330+E337+E336+E342)</f>
        <v>39734</v>
      </c>
      <c r="F343" s="25"/>
      <c r="H343" s="25" t="e">
        <f>SUM(#REF!-#REF!)</f>
        <v>#REF!</v>
      </c>
    </row>
    <row r="344" spans="1:5" ht="16.5">
      <c r="A344" s="66"/>
      <c r="B344" s="65" t="s">
        <v>19</v>
      </c>
      <c r="C344" s="11"/>
      <c r="D344" s="1128" t="s">
        <v>250</v>
      </c>
      <c r="E344" s="1136"/>
    </row>
    <row r="345" spans="1:5" ht="16.5">
      <c r="A345" s="66"/>
      <c r="B345" s="68"/>
      <c r="C345" s="11" t="s">
        <v>20</v>
      </c>
      <c r="D345" s="12" t="s">
        <v>251</v>
      </c>
      <c r="E345" s="13">
        <v>16482</v>
      </c>
    </row>
    <row r="346" spans="1:5" ht="16.5">
      <c r="A346" s="66"/>
      <c r="B346" s="68"/>
      <c r="C346" s="11" t="s">
        <v>44</v>
      </c>
      <c r="D346" s="12" t="s">
        <v>35</v>
      </c>
      <c r="E346" s="13">
        <v>4229</v>
      </c>
    </row>
    <row r="347" spans="1:5" ht="16.5">
      <c r="A347" s="66"/>
      <c r="B347" s="68"/>
      <c r="C347" s="11" t="s">
        <v>45</v>
      </c>
      <c r="D347" s="12" t="s">
        <v>253</v>
      </c>
      <c r="E347" s="13">
        <v>14360</v>
      </c>
    </row>
    <row r="348" spans="1:6" ht="16.5">
      <c r="A348" s="66"/>
      <c r="B348" s="68"/>
      <c r="C348" s="11" t="s">
        <v>49</v>
      </c>
      <c r="D348" s="12" t="s">
        <v>256</v>
      </c>
      <c r="E348" s="13"/>
      <c r="F348" s="25"/>
    </row>
    <row r="349" spans="1:5" ht="16.5">
      <c r="A349" s="66"/>
      <c r="B349" s="68"/>
      <c r="C349" s="11" t="s">
        <v>50</v>
      </c>
      <c r="D349" s="12" t="s">
        <v>257</v>
      </c>
      <c r="E349" s="13"/>
    </row>
    <row r="350" spans="1:5" ht="16.5">
      <c r="A350" s="66"/>
      <c r="B350" s="68"/>
      <c r="C350" s="11" t="s">
        <v>51</v>
      </c>
      <c r="D350" s="12" t="s">
        <v>232</v>
      </c>
      <c r="E350" s="13">
        <v>4663</v>
      </c>
    </row>
    <row r="351" spans="1:5" ht="16.5">
      <c r="A351" s="66"/>
      <c r="B351" s="68"/>
      <c r="C351" s="11"/>
      <c r="D351" s="72" t="s">
        <v>261</v>
      </c>
      <c r="E351" s="41">
        <f>SUM(E345:E350)</f>
        <v>39734</v>
      </c>
    </row>
    <row r="352" spans="1:5" ht="17.25" thickBot="1">
      <c r="A352" s="66"/>
      <c r="B352" s="65" t="s">
        <v>22</v>
      </c>
      <c r="C352" s="16"/>
      <c r="D352" s="75" t="s">
        <v>263</v>
      </c>
      <c r="E352" s="85">
        <v>10.5</v>
      </c>
    </row>
    <row r="353" spans="1:5" ht="18" thickBot="1" thickTop="1">
      <c r="A353" s="63" t="s">
        <v>322</v>
      </c>
      <c r="B353" s="64"/>
      <c r="C353" s="201"/>
      <c r="D353" s="1131" t="s">
        <v>336</v>
      </c>
      <c r="E353" s="1140"/>
    </row>
    <row r="354" spans="1:5" ht="17.25" thickTop="1">
      <c r="A354" s="66"/>
      <c r="B354" s="65" t="s">
        <v>14</v>
      </c>
      <c r="C354" s="10"/>
      <c r="D354" s="1200" t="s">
        <v>240</v>
      </c>
      <c r="E354" s="1201"/>
    </row>
    <row r="355" spans="1:5" ht="16.5">
      <c r="A355" s="66"/>
      <c r="B355" s="68"/>
      <c r="C355" s="15" t="s">
        <v>16</v>
      </c>
      <c r="D355" s="12" t="s">
        <v>623</v>
      </c>
      <c r="E355" s="13">
        <f>SUM(E356:E359)</f>
        <v>6855</v>
      </c>
    </row>
    <row r="356" spans="1:5" ht="16.5">
      <c r="A356" s="66"/>
      <c r="B356" s="68"/>
      <c r="C356" s="10" t="s">
        <v>309</v>
      </c>
      <c r="D356" s="193" t="s">
        <v>300</v>
      </c>
      <c r="E356" s="13">
        <v>2720</v>
      </c>
    </row>
    <row r="357" spans="1:5" ht="16.5">
      <c r="A357" s="66"/>
      <c r="B357" s="68"/>
      <c r="C357" s="10" t="s">
        <v>627</v>
      </c>
      <c r="D357" s="193" t="s">
        <v>301</v>
      </c>
      <c r="E357" s="13">
        <v>2310</v>
      </c>
    </row>
    <row r="358" spans="1:5" ht="16.5">
      <c r="A358" s="66"/>
      <c r="B358" s="68"/>
      <c r="C358" s="10" t="s">
        <v>628</v>
      </c>
      <c r="D358" s="193" t="s">
        <v>337</v>
      </c>
      <c r="E358" s="13">
        <v>454</v>
      </c>
    </row>
    <row r="359" spans="1:5" ht="16.5">
      <c r="A359" s="66"/>
      <c r="B359" s="68"/>
      <c r="C359" s="10" t="s">
        <v>629</v>
      </c>
      <c r="D359" s="193" t="s">
        <v>184</v>
      </c>
      <c r="E359" s="13">
        <v>1371</v>
      </c>
    </row>
    <row r="360" spans="1:5" ht="15" customHeight="1">
      <c r="A360" s="66"/>
      <c r="B360" s="68"/>
      <c r="C360" s="15" t="s">
        <v>17</v>
      </c>
      <c r="D360" s="12" t="s">
        <v>1209</v>
      </c>
      <c r="E360" s="13"/>
    </row>
    <row r="361" spans="1:5" ht="16.5">
      <c r="A361" s="66"/>
      <c r="B361" s="68"/>
      <c r="C361" s="15" t="s">
        <v>36</v>
      </c>
      <c r="D361" s="12" t="s">
        <v>243</v>
      </c>
      <c r="E361" s="13">
        <f>SUM(E362+E365)</f>
        <v>17207</v>
      </c>
    </row>
    <row r="362" spans="1:14" s="52" customFormat="1" ht="16.5">
      <c r="A362" s="174"/>
      <c r="B362" s="175"/>
      <c r="C362" s="51" t="s">
        <v>124</v>
      </c>
      <c r="D362" s="47" t="s">
        <v>244</v>
      </c>
      <c r="E362" s="48">
        <f>SUM(E363:E364)</f>
        <v>17207</v>
      </c>
      <c r="N362" s="264"/>
    </row>
    <row r="363" spans="1:5" ht="16.5">
      <c r="A363" s="66"/>
      <c r="B363" s="68"/>
      <c r="C363" s="10" t="s">
        <v>72</v>
      </c>
      <c r="D363" s="12" t="s">
        <v>245</v>
      </c>
      <c r="E363" s="13"/>
    </row>
    <row r="364" spans="1:9" ht="16.5">
      <c r="A364" s="66"/>
      <c r="B364" s="68"/>
      <c r="C364" s="10" t="s">
        <v>1464</v>
      </c>
      <c r="D364" s="12" t="s">
        <v>246</v>
      </c>
      <c r="E364" s="13">
        <v>17207</v>
      </c>
      <c r="I364" s="25">
        <f>SUM(E374-E366)</f>
        <v>0</v>
      </c>
    </row>
    <row r="365" spans="1:5" ht="16.5">
      <c r="A365" s="66"/>
      <c r="B365" s="68"/>
      <c r="C365" s="10" t="s">
        <v>125</v>
      </c>
      <c r="D365" s="12" t="s">
        <v>247</v>
      </c>
      <c r="E365" s="13"/>
    </row>
    <row r="366" spans="1:5" ht="16.5">
      <c r="A366" s="66"/>
      <c r="B366" s="68"/>
      <c r="C366" s="10"/>
      <c r="D366" s="69" t="s">
        <v>248</v>
      </c>
      <c r="E366" s="41">
        <f>SUM(E355+E361+E360)</f>
        <v>24062</v>
      </c>
    </row>
    <row r="367" spans="1:5" ht="16.5">
      <c r="A367" s="66"/>
      <c r="B367" s="65" t="s">
        <v>19</v>
      </c>
      <c r="C367" s="11"/>
      <c r="D367" s="1128" t="s">
        <v>250</v>
      </c>
      <c r="E367" s="1136"/>
    </row>
    <row r="368" spans="1:5" ht="16.5">
      <c r="A368" s="66"/>
      <c r="B368" s="68"/>
      <c r="C368" s="11" t="s">
        <v>20</v>
      </c>
      <c r="D368" s="12" t="s">
        <v>251</v>
      </c>
      <c r="E368" s="13">
        <v>13330</v>
      </c>
    </row>
    <row r="369" spans="1:5" ht="16.5">
      <c r="A369" s="66"/>
      <c r="B369" s="68"/>
      <c r="C369" s="11" t="s">
        <v>44</v>
      </c>
      <c r="D369" s="12" t="s">
        <v>35</v>
      </c>
      <c r="E369" s="13">
        <v>3491</v>
      </c>
    </row>
    <row r="370" spans="1:5" ht="16.5">
      <c r="A370" s="66"/>
      <c r="B370" s="68"/>
      <c r="C370" s="11" t="s">
        <v>45</v>
      </c>
      <c r="D370" s="12" t="s">
        <v>253</v>
      </c>
      <c r="E370" s="13">
        <v>7241</v>
      </c>
    </row>
    <row r="371" spans="1:5" ht="16.5">
      <c r="A371" s="66"/>
      <c r="B371" s="68"/>
      <c r="C371" s="11" t="s">
        <v>49</v>
      </c>
      <c r="D371" s="12" t="s">
        <v>256</v>
      </c>
      <c r="E371" s="13"/>
    </row>
    <row r="372" spans="1:5" ht="16.5">
      <c r="A372" s="66"/>
      <c r="B372" s="68"/>
      <c r="C372" s="11" t="s">
        <v>50</v>
      </c>
      <c r="D372" s="12" t="s">
        <v>257</v>
      </c>
      <c r="E372" s="13"/>
    </row>
    <row r="373" spans="1:5" ht="16.5">
      <c r="A373" s="66"/>
      <c r="B373" s="68"/>
      <c r="C373" s="11" t="s">
        <v>51</v>
      </c>
      <c r="D373" s="12" t="s">
        <v>260</v>
      </c>
      <c r="E373" s="13"/>
    </row>
    <row r="374" spans="1:8" ht="16.5">
      <c r="A374" s="66"/>
      <c r="B374" s="68"/>
      <c r="C374" s="11"/>
      <c r="D374" s="72" t="s">
        <v>261</v>
      </c>
      <c r="E374" s="41">
        <f>SUM(E368:E373)</f>
        <v>24062</v>
      </c>
      <c r="H374" s="25" t="e">
        <f>SUM(#REF!-#REF!)</f>
        <v>#REF!</v>
      </c>
    </row>
    <row r="375" spans="1:5" ht="17.25" thickBot="1">
      <c r="A375" s="66"/>
      <c r="B375" s="65" t="s">
        <v>22</v>
      </c>
      <c r="C375" s="16"/>
      <c r="D375" s="75" t="s">
        <v>266</v>
      </c>
      <c r="E375" s="85">
        <v>5.5</v>
      </c>
    </row>
    <row r="376" spans="1:5" ht="18" thickBot="1" thickTop="1">
      <c r="A376" s="63" t="s">
        <v>327</v>
      </c>
      <c r="B376" s="64"/>
      <c r="C376" s="201"/>
      <c r="D376" s="1131" t="s">
        <v>338</v>
      </c>
      <c r="E376" s="1140"/>
    </row>
    <row r="377" spans="1:5" ht="17.25" thickTop="1">
      <c r="A377" s="66"/>
      <c r="B377" s="65" t="s">
        <v>14</v>
      </c>
      <c r="C377" s="10"/>
      <c r="D377" s="1200" t="s">
        <v>240</v>
      </c>
      <c r="E377" s="1201"/>
    </row>
    <row r="378" spans="1:5" ht="16.5">
      <c r="A378" s="66"/>
      <c r="B378" s="68"/>
      <c r="C378" s="15" t="s">
        <v>16</v>
      </c>
      <c r="D378" s="12" t="s">
        <v>623</v>
      </c>
      <c r="E378" s="13">
        <f>SUM(E379:E382)</f>
        <v>995</v>
      </c>
    </row>
    <row r="379" spans="1:5" ht="16.5">
      <c r="A379" s="66"/>
      <c r="B379" s="68"/>
      <c r="C379" s="10" t="s">
        <v>309</v>
      </c>
      <c r="D379" s="193" t="s">
        <v>339</v>
      </c>
      <c r="E379" s="13">
        <v>395</v>
      </c>
    </row>
    <row r="380" spans="1:5" ht="16.5">
      <c r="A380" s="66"/>
      <c r="B380" s="68"/>
      <c r="C380" s="10" t="s">
        <v>627</v>
      </c>
      <c r="D380" s="193" t="s">
        <v>340</v>
      </c>
      <c r="E380" s="13">
        <v>101</v>
      </c>
    </row>
    <row r="381" spans="1:5" ht="16.5">
      <c r="A381" s="66"/>
      <c r="B381" s="68"/>
      <c r="C381" s="10" t="s">
        <v>628</v>
      </c>
      <c r="D381" s="193" t="s">
        <v>341</v>
      </c>
      <c r="E381" s="13">
        <v>300</v>
      </c>
    </row>
    <row r="382" spans="1:5" ht="16.5">
      <c r="A382" s="66"/>
      <c r="B382" s="68"/>
      <c r="C382" s="10" t="s">
        <v>629</v>
      </c>
      <c r="D382" s="193" t="s">
        <v>184</v>
      </c>
      <c r="E382" s="13">
        <v>199</v>
      </c>
    </row>
    <row r="383" spans="1:5" ht="15" customHeight="1">
      <c r="A383" s="66"/>
      <c r="B383" s="68"/>
      <c r="C383" s="15" t="s">
        <v>17</v>
      </c>
      <c r="D383" s="12" t="s">
        <v>1209</v>
      </c>
      <c r="E383" s="13"/>
    </row>
    <row r="384" spans="1:5" ht="16.5">
      <c r="A384" s="66"/>
      <c r="B384" s="68"/>
      <c r="C384" s="15" t="s">
        <v>36</v>
      </c>
      <c r="D384" s="12" t="s">
        <v>243</v>
      </c>
      <c r="E384" s="13">
        <f>SUM(E385+E388)</f>
        <v>26407</v>
      </c>
    </row>
    <row r="385" spans="1:14" s="52" customFormat="1" ht="16.5">
      <c r="A385" s="174"/>
      <c r="B385" s="175"/>
      <c r="C385" s="51" t="s">
        <v>124</v>
      </c>
      <c r="D385" s="47" t="s">
        <v>244</v>
      </c>
      <c r="E385" s="48">
        <f>SUM(E386:E387)</f>
        <v>26407</v>
      </c>
      <c r="N385" s="264"/>
    </row>
    <row r="386" spans="1:9" ht="16.5">
      <c r="A386" s="66"/>
      <c r="B386" s="68"/>
      <c r="C386" s="10" t="s">
        <v>72</v>
      </c>
      <c r="D386" s="12" t="s">
        <v>245</v>
      </c>
      <c r="E386" s="13"/>
      <c r="I386" s="25">
        <f>SUM(E397-E389)</f>
        <v>0</v>
      </c>
    </row>
    <row r="387" spans="1:5" ht="16.5">
      <c r="A387" s="66"/>
      <c r="B387" s="68"/>
      <c r="C387" s="10" t="s">
        <v>1464</v>
      </c>
      <c r="D387" s="12" t="s">
        <v>246</v>
      </c>
      <c r="E387" s="13">
        <v>26407</v>
      </c>
    </row>
    <row r="388" spans="1:8" ht="16.5">
      <c r="A388" s="66"/>
      <c r="B388" s="68"/>
      <c r="C388" s="10" t="s">
        <v>125</v>
      </c>
      <c r="D388" s="12" t="s">
        <v>247</v>
      </c>
      <c r="E388" s="13"/>
      <c r="H388" s="25" t="e">
        <f>SUM(#REF!-#REF!)</f>
        <v>#REF!</v>
      </c>
    </row>
    <row r="389" spans="1:5" ht="16.5">
      <c r="A389" s="66"/>
      <c r="B389" s="68"/>
      <c r="C389" s="10"/>
      <c r="D389" s="69" t="s">
        <v>248</v>
      </c>
      <c r="E389" s="41">
        <f>SUM(E378+E384+E383)</f>
        <v>27402</v>
      </c>
    </row>
    <row r="390" spans="1:10" ht="16.5">
      <c r="A390" s="66"/>
      <c r="B390" s="65" t="s">
        <v>19</v>
      </c>
      <c r="C390" s="11"/>
      <c r="D390" s="1128" t="s">
        <v>250</v>
      </c>
      <c r="E390" s="1136"/>
      <c r="F390" t="s">
        <v>342</v>
      </c>
      <c r="H390" s="25"/>
      <c r="I390" s="25"/>
      <c r="J390" s="25"/>
    </row>
    <row r="391" spans="1:10" ht="16.5">
      <c r="A391" s="66"/>
      <c r="B391" s="68"/>
      <c r="C391" s="11" t="s">
        <v>20</v>
      </c>
      <c r="D391" s="12" t="s">
        <v>251</v>
      </c>
      <c r="E391" s="13">
        <v>16710</v>
      </c>
      <c r="F391" t="s">
        <v>343</v>
      </c>
      <c r="H391" s="25"/>
      <c r="I391" s="25"/>
      <c r="J391" s="25"/>
    </row>
    <row r="392" spans="1:5" ht="16.5">
      <c r="A392" s="66"/>
      <c r="B392" s="68"/>
      <c r="C392" s="11" t="s">
        <v>44</v>
      </c>
      <c r="D392" s="12" t="s">
        <v>35</v>
      </c>
      <c r="E392" s="13">
        <v>4416</v>
      </c>
    </row>
    <row r="393" spans="1:5" ht="16.5">
      <c r="A393" s="66"/>
      <c r="B393" s="68"/>
      <c r="C393" s="11" t="s">
        <v>45</v>
      </c>
      <c r="D393" s="12" t="s">
        <v>253</v>
      </c>
      <c r="E393" s="13">
        <v>6276</v>
      </c>
    </row>
    <row r="394" spans="1:5" ht="16.5">
      <c r="A394" s="66"/>
      <c r="B394" s="68"/>
      <c r="C394" s="11" t="s">
        <v>49</v>
      </c>
      <c r="D394" s="12" t="s">
        <v>256</v>
      </c>
      <c r="E394" s="13"/>
    </row>
    <row r="395" spans="1:5" ht="16.5">
      <c r="A395" s="66"/>
      <c r="B395" s="68"/>
      <c r="C395" s="11" t="s">
        <v>50</v>
      </c>
      <c r="D395" s="12" t="s">
        <v>257</v>
      </c>
      <c r="E395" s="13"/>
    </row>
    <row r="396" spans="1:5" ht="16.5">
      <c r="A396" s="66"/>
      <c r="B396" s="68"/>
      <c r="C396" s="11" t="s">
        <v>51</v>
      </c>
      <c r="D396" s="12" t="s">
        <v>260</v>
      </c>
      <c r="E396" s="13"/>
    </row>
    <row r="397" spans="1:5" ht="16.5">
      <c r="A397" s="66"/>
      <c r="B397" s="68"/>
      <c r="C397" s="11"/>
      <c r="D397" s="72" t="s">
        <v>261</v>
      </c>
      <c r="E397" s="41">
        <f>SUM(E391:E396)</f>
        <v>27402</v>
      </c>
    </row>
    <row r="398" spans="1:8" ht="16.5">
      <c r="A398" s="66"/>
      <c r="B398" s="65" t="s">
        <v>22</v>
      </c>
      <c r="C398" s="16"/>
      <c r="D398" s="75" t="s">
        <v>266</v>
      </c>
      <c r="E398" s="76">
        <v>6</v>
      </c>
      <c r="H398" s="25" t="e">
        <f>SUM(#REF!-#REF!)</f>
        <v>#REF!</v>
      </c>
    </row>
    <row r="399" spans="1:5" ht="17.25" thickBot="1">
      <c r="A399" s="267" t="s">
        <v>331</v>
      </c>
      <c r="B399" s="268"/>
      <c r="C399" s="269"/>
      <c r="D399" s="1204" t="s">
        <v>1084</v>
      </c>
      <c r="E399" s="1205"/>
    </row>
    <row r="400" spans="1:10" ht="17.25" thickTop="1">
      <c r="A400" s="96"/>
      <c r="B400" s="97" t="s">
        <v>14</v>
      </c>
      <c r="C400" s="5"/>
      <c r="D400" s="1200" t="s">
        <v>240</v>
      </c>
      <c r="E400" s="1201"/>
      <c r="F400" s="161" t="s">
        <v>600</v>
      </c>
      <c r="G400" s="98" t="s">
        <v>344</v>
      </c>
      <c r="H400" s="98" t="s">
        <v>480</v>
      </c>
      <c r="I400" s="98" t="s">
        <v>481</v>
      </c>
      <c r="J400" s="98" t="s">
        <v>1135</v>
      </c>
    </row>
    <row r="401" spans="1:11" ht="16.5">
      <c r="A401" s="66"/>
      <c r="B401" s="68"/>
      <c r="C401" s="15" t="s">
        <v>16</v>
      </c>
      <c r="D401" s="12" t="s">
        <v>623</v>
      </c>
      <c r="E401" s="13"/>
      <c r="F401" s="12" t="s">
        <v>623</v>
      </c>
      <c r="G401" s="99" t="e">
        <f>SUM(#REF!,#REF!,#REF!,#REF!,#REF!,#REF!,#REF!,#REF!,#REF!,#REF!,#REF!,#REF!,#REF!,#REF!,#REF!,#REF!,#REF!,#REF!,#REF!,#REF!,#REF!,#REF!,#REF!,#REF!)</f>
        <v>#REF!</v>
      </c>
      <c r="H401" s="99" t="e">
        <f>SUM(#REF!+#REF!+#REF!+#REF!+#REF!+#REF!+#REF!+#REF!+#REF!+#REF!+#REF!+#REF!+#REF!+#REF!+#REF!+#REF!+#REF!)</f>
        <v>#REF!</v>
      </c>
      <c r="I401" s="99" t="e">
        <f>SUM(#REF!+#REF!+#REF!+#REF!+#REF!+#REF!+#REF!+#REF!+#REF!+#REF!+#REF!+#REF!+#REF!+#REF!+#REF!+#REF!+#REF!)</f>
        <v>#REF!</v>
      </c>
      <c r="J401" s="99">
        <f>SUM(E401+E378+E355+E330+E309+E286+E259+E240+E217+E193+E169+E147+E127+E101+E70+E41+E6)</f>
        <v>205899</v>
      </c>
      <c r="K401" t="e">
        <f>SUM(#REF!/#REF!)*100</f>
        <v>#REF!</v>
      </c>
    </row>
    <row r="402" spans="1:10" ht="15" customHeight="1">
      <c r="A402" s="66"/>
      <c r="B402" s="68"/>
      <c r="C402" s="15" t="s">
        <v>17</v>
      </c>
      <c r="D402" s="12" t="s">
        <v>1209</v>
      </c>
      <c r="E402" s="13"/>
      <c r="F402" s="160" t="s">
        <v>625</v>
      </c>
      <c r="G402" s="25" t="e">
        <f>#REF!+#REF!+#REF!+#REF!+#REF!+#REF!+#REF!+#REF!+#REF!+#REF!+#REF!+#REF!+#REF!+#REF!+#REF!+#REF!+#REF!+#REF!+#REF!+#REF!+#REF!+#REF!+#REF!+#REF!</f>
        <v>#REF!</v>
      </c>
      <c r="H402" s="25" t="e">
        <f>SUM(#REF!+#REF!+#REF!+#REF!+#REF!+#REF!+#REF!+#REF!+#REF!+#REF!+#REF!+#REF!+#REF!+#REF!+#REF!+#REF!)</f>
        <v>#REF!</v>
      </c>
      <c r="I402" s="25" t="e">
        <f>SUM(#REF!+#REF!+#REF!+#REF!+#REF!+#REF!+#REF!+#REF!+#REF!+#REF!+#REF!+#REF!+#REF!+#REF!+#REF!+#REF!)</f>
        <v>#REF!</v>
      </c>
      <c r="J402" s="25">
        <f>SUM(E11+E73+E105+E129+E151+E170+E194+E218+E241+E268+E291+E310+E334+E360+E383+E402)</f>
        <v>0</v>
      </c>
    </row>
    <row r="403" spans="1:10" ht="16.5">
      <c r="A403" s="66"/>
      <c r="B403" s="68"/>
      <c r="C403" s="15" t="s">
        <v>36</v>
      </c>
      <c r="D403" s="12" t="s">
        <v>243</v>
      </c>
      <c r="E403" s="13">
        <f>SUM(E404+E407)</f>
        <v>16722</v>
      </c>
      <c r="F403" s="12" t="s">
        <v>184</v>
      </c>
      <c r="G403" s="99"/>
      <c r="H403" s="99" t="e">
        <f>SUM(#REF!+#REF!+#REF!+#REF!+#REF!+#REF!+#REF!+#REF!+#REF!)</f>
        <v>#REF!</v>
      </c>
      <c r="I403" s="99" t="e">
        <f>SUM(#REF!+#REF!+#REF!+#REF!+#REF!+#REF!+#REF!+#REF!+#REF!)</f>
        <v>#REF!</v>
      </c>
      <c r="J403" s="99">
        <f>SUM(E10+E72+E104+E150+E267+E290+E335+E359+E382)</f>
        <v>40466</v>
      </c>
    </row>
    <row r="404" spans="1:13" ht="16.5">
      <c r="A404" s="177"/>
      <c r="B404" s="178"/>
      <c r="C404" s="202" t="s">
        <v>124</v>
      </c>
      <c r="D404" s="179" t="s">
        <v>244</v>
      </c>
      <c r="E404" s="58">
        <f>SUM(E405:E406)</f>
        <v>16722</v>
      </c>
      <c r="F404" s="12" t="s">
        <v>243</v>
      </c>
      <c r="G404" s="99" t="e">
        <f>SUM(#REF!,#REF!,#REF!,#REF!,#REF!,#REF!,#REF!,#REF!,#REF!,#REF!,#REF!,#REF!,#REF!,#REF!,#REF!,#REF!,#REF!,#REF!,#REF!,#REF!,#REF!,#REF!,#REF!,#REF!,)</f>
        <v>#REF!</v>
      </c>
      <c r="H404" s="99" t="e">
        <f>SUM(#REF!+#REF!+#REF!+#REF!+#REF!+#REF!+#REF!+#REF!+#REF!+#REF!+#REF!+#REF!+#REF!+#REF!+#REF!+#REF!+#REF!)</f>
        <v>#REF!</v>
      </c>
      <c r="I404" s="99" t="e">
        <f>SUM(#REF!+#REF!+#REF!+#REF!+#REF!+#REF!+#REF!+#REF!+#REF!+#REF!+#REF!+#REF!+#REF!+#REF!+#REF!+#REF!+#REF!)</f>
        <v>#REF!</v>
      </c>
      <c r="J404" s="99">
        <f>SUM(E12+E45+E74+E106+E130+E152+E171+E195+E219+E242+E269+E292+E311+E337+E361+E384+E403)</f>
        <v>1119342</v>
      </c>
      <c r="L404" s="98"/>
      <c r="M404" s="98"/>
    </row>
    <row r="405" spans="1:14" ht="16.5">
      <c r="A405" s="66"/>
      <c r="B405" s="68"/>
      <c r="C405" s="10" t="s">
        <v>72</v>
      </c>
      <c r="D405" s="12" t="s">
        <v>245</v>
      </c>
      <c r="E405" s="13"/>
      <c r="F405" s="12" t="s">
        <v>244</v>
      </c>
      <c r="G405" s="99" t="e">
        <f>SUM(#REF!,#REF!,#REF!,#REF!,#REF!,#REF!,#REF!,#REF!,#REF!,#REF!,#REF!,#REF!,#REF!,#REF!,#REF!,#REF!,#REF!,#REF!,#REF!,#REF!,#REF!,#REF!,#REF!,)</f>
        <v>#REF!</v>
      </c>
      <c r="H405" s="99" t="e">
        <f>SUM(#REF!+#REF!+#REF!+#REF!+#REF!+#REF!+#REF!+#REF!+#REF!+#REF!+#REF!+#REF!+#REF!+#REF!+#REF!+#REF!+#REF!)</f>
        <v>#REF!</v>
      </c>
      <c r="I405" s="99" t="e">
        <f>SUM(#REF!+#REF!+#REF!+#REF!+#REF!+#REF!+#REF!+#REF!+#REF!+#REF!+#REF!+#REF!+#REF!+#REF!+#REF!+#REF!+#REF!)</f>
        <v>#REF!</v>
      </c>
      <c r="J405" s="99">
        <f>SUM(E13+E46+E75+E107+E131+E153+E172+E196+E220+E243+E270+E293+E312+E338+E362+E385+E404)</f>
        <v>1099342</v>
      </c>
      <c r="K405" s="100"/>
      <c r="L405" s="101" t="e">
        <f>SUM(I406:I407)</f>
        <v>#REF!</v>
      </c>
      <c r="M405" s="101" t="e">
        <f>SUM(#REF!)</f>
        <v>#REF!</v>
      </c>
      <c r="N405" s="101" t="e">
        <f>SUM(#REF!)</f>
        <v>#REF!</v>
      </c>
    </row>
    <row r="406" spans="1:14" ht="16.5">
      <c r="A406" s="66"/>
      <c r="B406" s="68"/>
      <c r="C406" s="10" t="s">
        <v>1464</v>
      </c>
      <c r="D406" s="12" t="s">
        <v>246</v>
      </c>
      <c r="E406" s="13">
        <v>16722</v>
      </c>
      <c r="F406" s="12" t="s">
        <v>245</v>
      </c>
      <c r="G406" s="99" t="e">
        <f>SUM(#REF!,#REF!,#REF!,#REF!,#REF!,#REF!,#REF!,#REF!,#REF!,#REF!,#REF!,#REF!,#REF!,#REF!,#REF!,#REF!,#REF!,#REF!,#REF!,#REF!,#REF!,#REF!,#REF!,#REF!,)</f>
        <v>#REF!</v>
      </c>
      <c r="H406" s="99" t="e">
        <f>SUM(#REF!+#REF!+#REF!+#REF!+#REF!+#REF!+#REF!+#REF!+#REF!+#REF!+#REF!+#REF!+#REF!+#REF!+#REF!+#REF!+#REF!)</f>
        <v>#REF!</v>
      </c>
      <c r="I406" s="99" t="e">
        <f>SUM(#REF!+#REF!+#REF!+#REF!+#REF!+#REF!+#REF!+#REF!+#REF!+#REF!+#REF!+#REF!+#REF!+#REF!+#REF!+#REF!+#REF!)</f>
        <v>#REF!</v>
      </c>
      <c r="J406" s="99">
        <f>SUM(E14+E47+E76+E108+E132+E154+E173+E197+E221+E244+E271+E294+E313+E339+E363+E386+E405)</f>
        <v>601785</v>
      </c>
      <c r="K406" s="100"/>
      <c r="L406" s="101"/>
      <c r="M406" s="101"/>
      <c r="N406" s="265"/>
    </row>
    <row r="407" spans="1:14" ht="16.5">
      <c r="A407" s="66"/>
      <c r="B407" s="68"/>
      <c r="C407" s="10" t="s">
        <v>125</v>
      </c>
      <c r="D407" s="12" t="s">
        <v>247</v>
      </c>
      <c r="E407" s="13"/>
      <c r="F407" s="12" t="s">
        <v>246</v>
      </c>
      <c r="G407" s="99" t="e">
        <f>SUM(#REF!,#REF!,#REF!,#REF!,#REF!,#REF!,#REF!,#REF!,#REF!,#REF!,#REF!,#REF!,#REF!,#REF!,#REF!,#REF!,#REF!,#REF!,#REF!,#REF!,#REF!,#REF!,#REF!,#REF!)</f>
        <v>#REF!</v>
      </c>
      <c r="H407" s="99" t="e">
        <f>SUM(#REF!+#REF!+#REF!+#REF!+#REF!+#REF!+#REF!+#REF!+#REF!+#REF!+#REF!+#REF!+#REF!+#REF!+#REF!+#REF!+#REF!)</f>
        <v>#REF!</v>
      </c>
      <c r="I407" s="99" t="e">
        <f>SUM(#REF!+#REF!+#REF!+#REF!+#REF!+#REF!+#REF!+#REF!+#REF!+#REF!+#REF!+#REF!+#REF!+#REF!+#REF!+#REF!+#REF!)</f>
        <v>#REF!</v>
      </c>
      <c r="J407" s="99">
        <f>SUM(E16+E48+E78+E109+E133+E155+E175+E199+E222+E245+E272+E295+E314+E340+E364+E387+E406)</f>
        <v>497557</v>
      </c>
      <c r="K407" s="100"/>
      <c r="L407" s="101"/>
      <c r="M407" s="101"/>
      <c r="N407" s="265"/>
    </row>
    <row r="408" spans="1:14" ht="16.5">
      <c r="A408" s="66"/>
      <c r="B408" s="68"/>
      <c r="C408" s="10"/>
      <c r="D408" s="69" t="s">
        <v>248</v>
      </c>
      <c r="E408" s="41">
        <f>SUM(E401+E403+E402)</f>
        <v>16722</v>
      </c>
      <c r="F408" s="12" t="s">
        <v>247</v>
      </c>
      <c r="G408" s="99" t="e">
        <f>SUM(#REF!,#REF!,#REF!,#REF!,#REF!,#REF!,#REF!,#REF!,#REF!,#REF!,#REF!,#REF!,#REF!,#REF!,#REF!,#REF!,#REF!,#REF!,#REF!,#REF!,#REF!,#REF!,#REF!,)</f>
        <v>#REF!</v>
      </c>
      <c r="H408" s="99" t="e">
        <f>SUM(#REF!+#REF!+#REF!+#REF!+#REF!+#REF!+#REF!+#REF!+#REF!+#REF!+#REF!+#REF!+#REF!+#REF!+#REF!+#REF!)</f>
        <v>#REF!</v>
      </c>
      <c r="I408" s="99" t="e">
        <f>SUM(#REF!+#REF!+#REF!+#REF!+#REF!+#REF!+#REF!+#REF!+#REF!+#REF!+#REF!+#REF!+#REF!+#REF!+#REF!+#REF!+#REF!)</f>
        <v>#REF!</v>
      </c>
      <c r="J408" s="99">
        <f>SUM(E407+E388+E365+E341+E296+E273+E246+E223+E200+E176+E156+E134+E110+E79+E49+E17+E315)</f>
        <v>20000</v>
      </c>
      <c r="K408" s="100"/>
      <c r="L408" s="101"/>
      <c r="M408" s="101"/>
      <c r="N408" s="265"/>
    </row>
    <row r="409" spans="1:14" ht="16.5">
      <c r="A409" s="66"/>
      <c r="B409" s="65" t="s">
        <v>19</v>
      </c>
      <c r="C409" s="11"/>
      <c r="D409" s="1128" t="s">
        <v>250</v>
      </c>
      <c r="E409" s="1136"/>
      <c r="F409" s="12" t="s">
        <v>231</v>
      </c>
      <c r="G409" s="99"/>
      <c r="H409" s="99" t="e">
        <f>SUM(#REF!+#REF!)</f>
        <v>#REF!</v>
      </c>
      <c r="I409" s="99" t="e">
        <f>SUM(#REF!+#REF!)</f>
        <v>#REF!</v>
      </c>
      <c r="J409" s="99">
        <f>SUM(E342+E316)</f>
        <v>11004</v>
      </c>
      <c r="K409" s="100"/>
      <c r="L409" s="101"/>
      <c r="M409" s="101"/>
      <c r="N409" s="265"/>
    </row>
    <row r="410" spans="1:14" ht="16.5">
      <c r="A410" s="66"/>
      <c r="B410" s="68"/>
      <c r="C410" s="11" t="s">
        <v>20</v>
      </c>
      <c r="D410" s="12" t="s">
        <v>251</v>
      </c>
      <c r="E410" s="13">
        <v>1194</v>
      </c>
      <c r="F410" s="69" t="s">
        <v>248</v>
      </c>
      <c r="G410" s="102" t="e">
        <f>SUM(G401:G404)</f>
        <v>#REF!</v>
      </c>
      <c r="H410" s="102" t="e">
        <f>SUM(H401+H402+H404)</f>
        <v>#REF!</v>
      </c>
      <c r="I410" s="102" t="e">
        <f>SUM(I401+I402+I404+I409)</f>
        <v>#REF!</v>
      </c>
      <c r="J410" s="102">
        <f>SUM(J401+J402+J404+J409)</f>
        <v>1336245</v>
      </c>
      <c r="K410" s="146"/>
      <c r="L410" s="101"/>
      <c r="M410" s="101"/>
      <c r="N410" s="265"/>
    </row>
    <row r="411" spans="1:15" ht="16.5">
      <c r="A411" s="66"/>
      <c r="B411" s="68"/>
      <c r="C411" s="11" t="s">
        <v>44</v>
      </c>
      <c r="D411" s="12" t="s">
        <v>35</v>
      </c>
      <c r="E411" s="13">
        <v>279</v>
      </c>
      <c r="F411" s="75" t="s">
        <v>250</v>
      </c>
      <c r="G411" s="99"/>
      <c r="H411" s="99"/>
      <c r="I411" s="99"/>
      <c r="J411" s="99"/>
      <c r="K411" s="728" t="s">
        <v>1120</v>
      </c>
      <c r="L411" s="104" t="e">
        <f>SUM(#REF!)</f>
        <v>#REF!</v>
      </c>
      <c r="M411" s="104" t="e">
        <f>SUM(#REF!)</f>
        <v>#REF!</v>
      </c>
      <c r="N411" s="104" t="e">
        <f>SUM(#REF!)</f>
        <v>#REF!</v>
      </c>
      <c r="O411" s="212" t="e">
        <f>SUM(N411/M411)*100</f>
        <v>#REF!</v>
      </c>
    </row>
    <row r="412" spans="1:15" ht="16.5">
      <c r="A412" s="66"/>
      <c r="B412" s="68"/>
      <c r="C412" s="11" t="s">
        <v>45</v>
      </c>
      <c r="D412" s="12" t="s">
        <v>253</v>
      </c>
      <c r="E412" s="13">
        <v>15249</v>
      </c>
      <c r="F412" s="17" t="s">
        <v>251</v>
      </c>
      <c r="G412" s="196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H412" s="196" t="e">
        <f>SUM(#REF!+#REF!+#REF!+#REF!+#REF!+#REF!+#REF!+#REF!+#REF!+#REF!+#REF!+#REF!+#REF!+#REF!+#REF!+#REF!+#REF!)</f>
        <v>#REF!</v>
      </c>
      <c r="I412" s="196" t="e">
        <f>SUM(#REF!+#REF!+#REF!+#REF!+#REF!+#REF!+#REF!+#REF!+#REF!+#REF!+#REF!+#REF!+#REF!+#REF!+#REF!+#REF!+#REF!)</f>
        <v>#REF!</v>
      </c>
      <c r="J412" s="196">
        <f>SUM(E21+E52+E82+E113+E137+E159+E179+E203+E226+E249+E276+E299+E319+E345+E368+E391+E410)</f>
        <v>739734</v>
      </c>
      <c r="K412" s="103" t="s">
        <v>1121</v>
      </c>
      <c r="L412" s="101" t="e">
        <f>SUM(I412:I414)</f>
        <v>#REF!</v>
      </c>
      <c r="M412" s="101" t="e">
        <f>SUM(#REF!)</f>
        <v>#REF!</v>
      </c>
      <c r="N412" s="101" t="e">
        <f>SUM(#REF!)</f>
        <v>#REF!</v>
      </c>
      <c r="O412" s="212" t="e">
        <f aca="true" t="shared" si="0" ref="O412:O417">SUM(N412/M412)*100</f>
        <v>#REF!</v>
      </c>
    </row>
    <row r="413" spans="1:15" ht="16.5">
      <c r="A413" s="66"/>
      <c r="B413" s="68"/>
      <c r="D413" s="12"/>
      <c r="E413" s="13"/>
      <c r="F413" s="17" t="s">
        <v>35</v>
      </c>
      <c r="G413" s="99"/>
      <c r="H413" s="99" t="e">
        <f>SUM(#REF!+#REF!+#REF!+#REF!+#REF!+#REF!+#REF!+#REF!+#REF!+#REF!+#REF!+#REF!+#REF!+#REF!+#REF!+#REF!+#REF!)</f>
        <v>#REF!</v>
      </c>
      <c r="I413" s="99" t="e">
        <f>SUM(#REF!+#REF!+#REF!+#REF!+#REF!+#REF!+#REF!+#REF!+#REF!+#REF!+#REF!+#REF!+#REF!+#REF!+#REF!+#REF!+#REF!)</f>
        <v>#REF!</v>
      </c>
      <c r="J413" s="99">
        <f>SUM(E23+E54+E84+E114+E138+E160+E181+E205+E227+E250+E277+E300+E320+E346+E369+E392+E411)</f>
        <v>192123</v>
      </c>
      <c r="K413" s="725" t="s">
        <v>1117</v>
      </c>
      <c r="L413" s="101" t="e">
        <f>SUM('4. sz. melléklet EÜ.'!Q98)</f>
        <v>#REF!</v>
      </c>
      <c r="M413" s="101">
        <f>SUM('4. sz. melléklet EÜ.'!R98)</f>
        <v>517191</v>
      </c>
      <c r="N413" s="101">
        <f>SUM('4. sz. melléklet EÜ.'!S98)</f>
        <v>0</v>
      </c>
      <c r="O413" s="212">
        <f t="shared" si="0"/>
        <v>0</v>
      </c>
    </row>
    <row r="414" spans="1:15" ht="16.5">
      <c r="A414" s="66"/>
      <c r="B414" s="68"/>
      <c r="C414" s="11" t="s">
        <v>49</v>
      </c>
      <c r="D414" s="12" t="s">
        <v>256</v>
      </c>
      <c r="E414" s="13"/>
      <c r="F414" s="17" t="s">
        <v>253</v>
      </c>
      <c r="G414" s="99"/>
      <c r="H414" s="99" t="e">
        <f>SUM(#REF!+#REF!+#REF!+#REF!+#REF!+#REF!+#REF!+#REF!+#REF!+#REF!+#REF!+#REF!+#REF!+#REF!+#REF!+#REF!+#REF!)</f>
        <v>#REF!</v>
      </c>
      <c r="I414" s="99" t="e">
        <f>SUM(#REF!+#REF!+#REF!+#REF!+#REF!+#REF!+#REF!+#REF!+#REF!+#REF!+#REF!+#REF!+#REF!+#REF!+#REF!+#REF!+#REF!)</f>
        <v>#REF!</v>
      </c>
      <c r="J414" s="99">
        <f>SUM(E25+E56+E86+E115+E139+E161+E183+E207+E228+E251+E278+E301+E321+E347+E370+E393+E412)</f>
        <v>376522</v>
      </c>
      <c r="K414" s="727" t="s">
        <v>1118</v>
      </c>
      <c r="L414" s="726" t="e">
        <f>SUM(L412:L413)</f>
        <v>#REF!</v>
      </c>
      <c r="M414" s="726" t="e">
        <f>SUM(M412:M413)</f>
        <v>#REF!</v>
      </c>
      <c r="N414" s="726" t="e">
        <f>SUM(N412:N413)</f>
        <v>#REF!</v>
      </c>
      <c r="O414" s="212" t="e">
        <f t="shared" si="0"/>
        <v>#REF!</v>
      </c>
    </row>
    <row r="415" spans="1:15" ht="16.5">
      <c r="A415" s="66"/>
      <c r="B415" s="68"/>
      <c r="C415" s="11" t="s">
        <v>50</v>
      </c>
      <c r="D415" s="12" t="s">
        <v>257</v>
      </c>
      <c r="E415" s="13"/>
      <c r="F415" s="17" t="s">
        <v>256</v>
      </c>
      <c r="G415" s="196" t="e">
        <f>SUM(#REF!,#REF!,#REF!,#REF!,#REF!,#REF!,#REF!,#REF!,#REF!,#REF!,#REF!,#REF!,#REF!,#REF!,#REF!,#REF!,#REF!,#REF!,#REF!,#REF!,#REF!,#REF!)</f>
        <v>#REF!</v>
      </c>
      <c r="H415" s="196" t="e">
        <f>SUM(#REF!+#REF!+#REF!+#REF!+#REF!+#REF!+#REF!+#REF!+#REF!+#REF!+#REF!+#REF!+#REF!+#REF!+#REF!+#REF!+#REF!)</f>
        <v>#REF!</v>
      </c>
      <c r="I415" s="196" t="e">
        <f>SUM(#REF!+#REF!+#REF!+#REF!+#REF!+#REF!+#REF!+#REF!+#REF!+#REF!+#REF!+#REF!+#REF!+#REF!+#REF!+#REF!+#REF!)</f>
        <v>#REF!</v>
      </c>
      <c r="J415" s="196">
        <f>SUM(E414+E394+E371+E348+E322+E302+E279+E252+E233+E209+E185+E162+E140+E120+E93+E32+E57)</f>
        <v>0</v>
      </c>
      <c r="K415" s="105" t="s">
        <v>379</v>
      </c>
      <c r="L415" s="101" t="e">
        <f>SUM('német 3d.sz. mell. '!#REF!)</f>
        <v>#REF!</v>
      </c>
      <c r="M415" s="101" t="e">
        <f>SUM('német 3d.sz. mell. '!#REF!)</f>
        <v>#REF!</v>
      </c>
      <c r="N415" s="101" t="e">
        <f>SUM('német 3d.sz. mell. '!#REF!)</f>
        <v>#REF!</v>
      </c>
      <c r="O415" s="212" t="e">
        <f t="shared" si="0"/>
        <v>#REF!</v>
      </c>
    </row>
    <row r="416" spans="1:15" ht="16.5">
      <c r="A416" s="66"/>
      <c r="B416" s="68"/>
      <c r="C416" s="11" t="s">
        <v>51</v>
      </c>
      <c r="D416" s="12" t="s">
        <v>260</v>
      </c>
      <c r="E416" s="13"/>
      <c r="F416" s="17" t="s">
        <v>257</v>
      </c>
      <c r="G416" s="196" t="e">
        <f>SUM(#REF!,#REF!,#REF!,#REF!,#REF!,#REF!,#REF!,#REF!,#REF!,#REF!,#REF!,#REF!,#REF!,#REF!,#REF!,#REF!,#REF!,#REF!,#REF!,#REF!,#REF!,#REF!)</f>
        <v>#REF!</v>
      </c>
      <c r="H416" s="196" t="e">
        <f>SUM(#REF!+#REF!+#REF!+#REF!+#REF!+#REF!+#REF!+#REF!+#REF!+#REF!+#REF!+#REF!+#REF!+#REF!+#REF!+#REF!+#REF!)</f>
        <v>#REF!</v>
      </c>
      <c r="I416" s="196" t="e">
        <f>SUM(#REF!+#REF!+#REF!+#REF!+#REF!+#REF!+#REF!+#REF!+#REF!+#REF!+#REF!+#REF!+#REF!+#REF!+#REF!+#REF!+#REF!)</f>
        <v>#REF!</v>
      </c>
      <c r="J416" s="196">
        <f>SUM(E33+E58+E94+E121+E141+E163+E186+E210+E234+E253+E280+E303+E323+E349+E372+E395+E415)</f>
        <v>20000</v>
      </c>
      <c r="K416" s="105" t="s">
        <v>1119</v>
      </c>
      <c r="L416" s="101" t="e">
        <f>SUM('cigány 3e sz. mell'!#REF!)</f>
        <v>#REF!</v>
      </c>
      <c r="M416" s="101" t="e">
        <f>SUM('cigány 3e sz. mell'!#REF!)</f>
        <v>#REF!</v>
      </c>
      <c r="N416" s="101" t="e">
        <f>SUM('cigány 3e sz. mell'!#REF!)</f>
        <v>#REF!</v>
      </c>
      <c r="O416" s="212" t="e">
        <f t="shared" si="0"/>
        <v>#REF!</v>
      </c>
    </row>
    <row r="417" spans="1:15" ht="16.5">
      <c r="A417" s="66"/>
      <c r="B417" s="68"/>
      <c r="C417" s="11"/>
      <c r="D417" s="107" t="s">
        <v>261</v>
      </c>
      <c r="E417" s="108">
        <f>SUM(E410:E416)</f>
        <v>16722</v>
      </c>
      <c r="F417" s="17" t="s">
        <v>260</v>
      </c>
      <c r="G417" s="196" t="e">
        <f>SUM(#REF!,#REF!,#REF!,#REF!,#REF!,#REF!,#REF!,#REF!,#REF!,#REF!,#REF!,#REF!,#REF!,#REF!,#REF!,#REF!,#REF!,#REF!,#REF!,#REF!,#REF!,#REF!)</f>
        <v>#REF!</v>
      </c>
      <c r="H417" s="196" t="e">
        <f>SUM(#REF!+#REF!+#REF!+#REF!+#REF!+#REF!+#REF!+#REF!+#REF!+#REF!+#REF!+#REF!+#REF!+#REF!+#REF!+#REF!)</f>
        <v>#REF!</v>
      </c>
      <c r="I417" s="196" t="e">
        <f>SUM(#REF!+#REF!+#REF!+#REF!+#REF!+#REF!+#REF!+#REF!+#REF!+#REF!+#REF!+#REF!+#REF!+#REF!+#REF!+#REF!)</f>
        <v>#REF!</v>
      </c>
      <c r="J417" s="196">
        <f>SUM(E35+E59+E95+E122+E142+E164+E187+E211+E235+E254+E281+E304+E324+E373+E396+E416)</f>
        <v>0</v>
      </c>
      <c r="K417" s="146" t="s">
        <v>346</v>
      </c>
      <c r="L417" s="25" t="e">
        <f>SUM(L411-L414-L415-L416)</f>
        <v>#REF!</v>
      </c>
      <c r="M417" s="25" t="e">
        <f>SUM(M411-M414-M415-M416)</f>
        <v>#REF!</v>
      </c>
      <c r="N417" s="25" t="e">
        <f>SUM(N411-N414-N415-N416)</f>
        <v>#REF!</v>
      </c>
      <c r="O417" s="212" t="e">
        <f t="shared" si="0"/>
        <v>#REF!</v>
      </c>
    </row>
    <row r="418" spans="1:14" ht="17.25" thickBot="1">
      <c r="A418" s="440"/>
      <c r="B418" s="256"/>
      <c r="C418" s="438"/>
      <c r="D418" s="75" t="s">
        <v>266</v>
      </c>
      <c r="E418" s="75">
        <v>1</v>
      </c>
      <c r="F418" s="17"/>
      <c r="G418" s="196"/>
      <c r="H418" s="196"/>
      <c r="I418" s="196"/>
      <c r="J418" s="196"/>
      <c r="K418" s="146"/>
      <c r="L418" s="101"/>
      <c r="M418" s="101"/>
      <c r="N418" s="265"/>
    </row>
    <row r="419" spans="1:14" ht="24" customHeight="1" thickBot="1" thickTop="1">
      <c r="A419" s="110" t="s">
        <v>1132</v>
      </c>
      <c r="B419" s="111"/>
      <c r="C419" s="203"/>
      <c r="D419" s="111"/>
      <c r="E419" s="1032">
        <f>SUM(E408+E389+E366+E343+E317+E297+E274+E247+E224+E201+E177+E157+E135+E111+E80+E63)</f>
        <v>1336245</v>
      </c>
      <c r="F419" s="1031" t="s">
        <v>482</v>
      </c>
      <c r="G419" s="109" t="e">
        <f>SUM(G412,#REF!,#REF!,#REF!,G415,G416,G417,)</f>
        <v>#REF!</v>
      </c>
      <c r="H419" s="109" t="e">
        <f>SUM(#REF!+#REF!)</f>
        <v>#REF!</v>
      </c>
      <c r="I419" s="109" t="e">
        <f>SUM(#REF!+#REF!)</f>
        <v>#REF!</v>
      </c>
      <c r="J419" s="109">
        <f>SUM(E350+E325)</f>
        <v>7866</v>
      </c>
      <c r="K419" s="100"/>
      <c r="L419" s="101"/>
      <c r="M419" s="101"/>
      <c r="N419" s="265"/>
    </row>
    <row r="420" spans="1:14" ht="29.25" customHeight="1" thickBot="1" thickTop="1">
      <c r="A420" s="110" t="s">
        <v>1131</v>
      </c>
      <c r="B420" s="111"/>
      <c r="C420" s="203"/>
      <c r="D420" s="111"/>
      <c r="E420" s="1032">
        <f>SUM(E417+E397+E374+E351+E326+E305+E282+E255+E236+E212+E188+E165+E143+E123+E96+E65)</f>
        <v>1336245</v>
      </c>
      <c r="F420" s="1031" t="s">
        <v>261</v>
      </c>
      <c r="G420" s="109" t="e">
        <f>SUM(G413,#REF!,#REF!,#REF!,G416,G417,G419,)</f>
        <v>#REF!</v>
      </c>
      <c r="H420" s="109" t="e">
        <f>SUM(H412:H419)</f>
        <v>#REF!</v>
      </c>
      <c r="I420" s="109" t="e">
        <f>SUM(I412:I419)</f>
        <v>#REF!</v>
      </c>
      <c r="J420" s="109">
        <f>SUM(J412:J419)</f>
        <v>1336245</v>
      </c>
      <c r="K420" s="146" t="e">
        <f>#REF!-#REF!</f>
        <v>#REF!</v>
      </c>
      <c r="L420" s="101" t="e">
        <f>I420-I419</f>
        <v>#REF!</v>
      </c>
      <c r="M420" s="101" t="e">
        <f>#REF!-#REF!</f>
        <v>#REF!</v>
      </c>
      <c r="N420" s="101" t="e">
        <f>#REF!-#REF!</f>
        <v>#REF!</v>
      </c>
    </row>
    <row r="421" spans="6:14" ht="15.75" thickTop="1">
      <c r="F421" s="199" t="s">
        <v>7</v>
      </c>
      <c r="H421" s="25" t="e">
        <f>SUM(#REF!+#REF!+#REF!+#REF!+#REF!+#REF!+#REF!+#REF!+#REF!+#REF!+#REF!+#REF!+#REF!+#REF!+#REF!)</f>
        <v>#REF!</v>
      </c>
      <c r="I421" s="439" t="e">
        <f>SUM(#REF!+#REF!+#REF!+#REF!+#REF!+#REF!+#REF!+#REF!+#REF!+#REF!+#REF!+#REF!+#REF!+#REF!+#REF!+#REF!)</f>
        <v>#REF!</v>
      </c>
      <c r="J421" s="439">
        <f>SUM(E398+E375+E352+E327+E306+E283+E256+E237+E214+E190+E166+E144+E124+E98+E67+E418)</f>
        <v>357.38</v>
      </c>
      <c r="K421" s="100"/>
      <c r="L421" s="113"/>
      <c r="M421" s="113"/>
      <c r="N421" s="266"/>
    </row>
    <row r="422" spans="7:11" ht="15">
      <c r="G422" s="25" t="e">
        <f>SUM(#REF!-G419)</f>
        <v>#REF!</v>
      </c>
      <c r="H422" s="25"/>
      <c r="I422" s="25"/>
      <c r="J422" s="25"/>
      <c r="K422" s="146"/>
    </row>
    <row r="423" spans="6:11" ht="15">
      <c r="F423" s="161" t="s">
        <v>1130</v>
      </c>
      <c r="K423" s="100"/>
    </row>
    <row r="424" spans="6:11" ht="14.25">
      <c r="F424" s="161" t="s">
        <v>1126</v>
      </c>
      <c r="H424" s="25"/>
      <c r="I424" s="25" t="e">
        <f>SUM(I412+'4. sz. melléklet EÜ.'!M98)</f>
        <v>#REF!</v>
      </c>
      <c r="J424" s="25">
        <f>SUM(J412+'4. sz. melléklet EÜ.'!N98)</f>
        <v>882442</v>
      </c>
      <c r="K424" s="733"/>
    </row>
    <row r="425" spans="6:11" ht="14.25">
      <c r="F425" s="732" t="s">
        <v>1129</v>
      </c>
      <c r="H425" s="25"/>
      <c r="I425" s="25" t="e">
        <f>SUM(I413+'4. sz. melléklet EÜ.'!M99)</f>
        <v>#REF!</v>
      </c>
      <c r="J425" s="25">
        <f>SUM(J413+'4. sz. melléklet EÜ.'!N99)</f>
        <v>231083</v>
      </c>
      <c r="K425" s="733"/>
    </row>
    <row r="426" spans="6:11" ht="14.25">
      <c r="F426" s="732" t="s">
        <v>1128</v>
      </c>
      <c r="H426" s="25"/>
      <c r="I426" s="25" t="e">
        <f>SUM(I414+'4. sz. melléklet EÜ.'!M100)</f>
        <v>#REF!</v>
      </c>
      <c r="J426" s="25">
        <f>SUM(J414+'4. sz. melléklet EÜ.'!N100)</f>
        <v>712045</v>
      </c>
      <c r="K426" s="733"/>
    </row>
    <row r="430" ht="14.25">
      <c r="K430" s="25"/>
    </row>
  </sheetData>
  <sheetProtection/>
  <mergeCells count="53">
    <mergeCell ref="D367:E367"/>
    <mergeCell ref="D284:E284"/>
    <mergeCell ref="D344:E344"/>
    <mergeCell ref="D409:E409"/>
    <mergeCell ref="D376:E376"/>
    <mergeCell ref="D377:E377"/>
    <mergeCell ref="D390:E390"/>
    <mergeCell ref="D399:E399"/>
    <mergeCell ref="D353:E353"/>
    <mergeCell ref="D400:E400"/>
    <mergeCell ref="D354:E354"/>
    <mergeCell ref="D202:E202"/>
    <mergeCell ref="D329:E329"/>
    <mergeCell ref="D307:E307"/>
    <mergeCell ref="D328:E328"/>
    <mergeCell ref="D318:E318"/>
    <mergeCell ref="D298:E298"/>
    <mergeCell ref="D257:E257"/>
    <mergeCell ref="D285:E285"/>
    <mergeCell ref="D275:E275"/>
    <mergeCell ref="D248:E248"/>
    <mergeCell ref="D215:E215"/>
    <mergeCell ref="D238:E238"/>
    <mergeCell ref="D216:E216"/>
    <mergeCell ref="D225:E225"/>
    <mergeCell ref="D239:E239"/>
    <mergeCell ref="D258:E258"/>
    <mergeCell ref="A1:C1"/>
    <mergeCell ref="A63:D63"/>
    <mergeCell ref="A65:D65"/>
    <mergeCell ref="D4:E4"/>
    <mergeCell ref="D5:E5"/>
    <mergeCell ref="D3:E3"/>
    <mergeCell ref="D20:E20"/>
    <mergeCell ref="D69:E69"/>
    <mergeCell ref="D125:E125"/>
    <mergeCell ref="D192:E192"/>
    <mergeCell ref="D168:E168"/>
    <mergeCell ref="D126:E126"/>
    <mergeCell ref="D191:E191"/>
    <mergeCell ref="D112:E112"/>
    <mergeCell ref="D178:E178"/>
    <mergeCell ref="D167:E167"/>
    <mergeCell ref="D145:E145"/>
    <mergeCell ref="D158:E158"/>
    <mergeCell ref="D146:E146"/>
    <mergeCell ref="D100:E100"/>
    <mergeCell ref="D81:E81"/>
    <mergeCell ref="D39:E39"/>
    <mergeCell ref="D40:E40"/>
    <mergeCell ref="D51:E51"/>
    <mergeCell ref="D68:E68"/>
    <mergeCell ref="D99:E99"/>
  </mergeCells>
  <printOptions horizontalCentered="1"/>
  <pageMargins left="0" right="0" top="0.8661417322834646" bottom="0.1968503937007874" header="0.31496062992125984" footer="0.11811023622047245"/>
  <pageSetup firstPageNumber="46" useFirstPageNumber="1" horizontalDpi="600" verticalDpi="600" orientation="portrait" paperSize="9" r:id="rId1"/>
  <headerFooter alignWithMargins="0">
    <oddHeader>&amp;C&amp;"Times New Roman,Félkövér"&amp;14
Önállóan működő intézmények 2011. évi bevételei és kiadásai&amp;R3/c. sz. melléklet
ezer Ft</oddHeader>
    <oddFooter>&amp;C- &amp;P -</oddFooter>
  </headerFooter>
  <rowBreaks count="14" manualBreakCount="14">
    <brk id="38" max="11" man="1"/>
    <brk id="67" max="11" man="1"/>
    <brk id="98" max="4" man="1"/>
    <brk id="124" max="4" man="1"/>
    <brk id="166" max="9" man="1"/>
    <brk id="190" max="4" man="1"/>
    <brk id="237" max="4" man="1"/>
    <brk id="256" max="9" man="1"/>
    <brk id="283" max="4" man="1"/>
    <brk id="306" max="11" man="1"/>
    <brk id="327" max="4" man="1"/>
    <brk id="352" max="9" man="1"/>
    <brk id="375" max="4" man="1"/>
    <brk id="3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tibci művek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Terika</dc:creator>
  <cp:keywords/>
  <dc:description/>
  <cp:lastModifiedBy>Vecsés Város Polgármesteri Hivatala</cp:lastModifiedBy>
  <cp:lastPrinted>2011-02-15T10:28:38Z</cp:lastPrinted>
  <dcterms:created xsi:type="dcterms:W3CDTF">2006-01-28T13:20:14Z</dcterms:created>
  <dcterms:modified xsi:type="dcterms:W3CDTF">2011-02-15T10:37:15Z</dcterms:modified>
  <cp:category/>
  <cp:version/>
  <cp:contentType/>
  <cp:contentStatus/>
</cp:coreProperties>
</file>