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90" tabRatio="831" firstSheet="27" activeTab="31"/>
  </bookViews>
  <sheets>
    <sheet name="I. sz. mell." sheetId="60" r:id="rId1"/>
    <sheet name="1.sz.mell." sheetId="1" r:id="rId2"/>
    <sheet name="1.1.sz.mell  " sheetId="2" r:id="rId3"/>
    <sheet name="1.2.sz.mell  " sheetId="3" r:id="rId4"/>
    <sheet name="1.3. sz. mell" sheetId="69" r:id="rId5"/>
    <sheet name="1.4. sz. mell" sheetId="70" r:id="rId6"/>
    <sheet name="1.5. sz. mell" sheetId="71" r:id="rId7"/>
    <sheet name="2. sz. mell " sheetId="4" r:id="rId8"/>
    <sheet name="3. sz. mell" sheetId="5" r:id="rId9"/>
    <sheet name="3.1.asz.melléklet" sheetId="6" r:id="rId10"/>
    <sheet name="3.2.sz.melléklet" sheetId="7" r:id="rId11"/>
    <sheet name="4. sz. mell." sheetId="8" r:id="rId12"/>
    <sheet name="4.1 sz. mell" sheetId="9" r:id="rId13"/>
    <sheet name="4.2. sz. mell" sheetId="10" r:id="rId14"/>
    <sheet name="4.3 sz. mell" sheetId="11" r:id="rId15"/>
    <sheet name="4.4.sz. mell." sheetId="12" r:id="rId16"/>
    <sheet name="4.5.sz. mell. " sheetId="13" r:id="rId17"/>
    <sheet name="4.6 sz. mell." sheetId="14" r:id="rId18"/>
    <sheet name="4.7.sz. mell." sheetId="15" r:id="rId19"/>
    <sheet name="4.8.sz. mell." sheetId="16" r:id="rId20"/>
    <sheet name="5. sz. mell. " sheetId="17" r:id="rId21"/>
    <sheet name="5.1. sz. mell. " sheetId="24" r:id="rId22"/>
    <sheet name="5.2. sz. mell.  " sheetId="25" r:id="rId23"/>
    <sheet name="5.3 sz. mell" sheetId="26" r:id="rId24"/>
    <sheet name="5.4. sz mell" sheetId="27" r:id="rId25"/>
    <sheet name="5.5. sz. mell.  " sheetId="28" r:id="rId26"/>
    <sheet name="5.6. sz. mell" sheetId="29" r:id="rId27"/>
    <sheet name="5.7. sz. mell." sheetId="30" r:id="rId28"/>
    <sheet name="5.8. sz. mell." sheetId="31" r:id="rId29"/>
    <sheet name="5.9. sz. mell. " sheetId="32" r:id="rId30"/>
    <sheet name="5.9.1..sz mell." sheetId="33" r:id="rId31"/>
    <sheet name="5.10. sz. mell." sheetId="34" r:id="rId32"/>
    <sheet name="5.10.1..sz mell." sheetId="35" r:id="rId33"/>
    <sheet name="5.11 sz. mell " sheetId="36" r:id="rId34"/>
    <sheet name="5.11.1. sz. mell." sheetId="37" r:id="rId35"/>
    <sheet name="6.1.sz.mell. " sheetId="57" r:id="rId36"/>
    <sheet name="6.2.sz.mell." sheetId="58" r:id="rId37"/>
    <sheet name="7.1. sz mell." sheetId="40" r:id="rId38"/>
    <sheet name="7.2.. sz mell." sheetId="41" r:id="rId39"/>
    <sheet name="8.1.sz.mell." sheetId="42" r:id="rId40"/>
    <sheet name="8.2.sz.mell." sheetId="43" r:id="rId41"/>
    <sheet name="8.3.sz.mell." sheetId="44" r:id="rId42"/>
    <sheet name="9. sz. mell" sheetId="59" r:id="rId43"/>
    <sheet name="9.1. sz mell" sheetId="66" r:id="rId44"/>
    <sheet name="10.sz. mell. " sheetId="62" r:id="rId45"/>
    <sheet name="11.sz.mell." sheetId="68" r:id="rId46"/>
    <sheet name="12. sz. mell." sheetId="48" r:id="rId47"/>
    <sheet name="13. sz. mell." sheetId="67" r:id="rId48"/>
    <sheet name="14.sz.mell" sheetId="61" r:id="rId49"/>
    <sheet name="15.sz.mell." sheetId="51" r:id="rId50"/>
    <sheet name="16. sz. mell." sheetId="52" r:id="rId51"/>
    <sheet name="Munka1" sheetId="55" r:id="rId52"/>
    <sheet name="Munka2" sheetId="56" r:id="rId53"/>
    <sheet name="." sheetId="18" r:id="rId54"/>
    <sheet name=".." sheetId="19" r:id="rId55"/>
    <sheet name="..." sheetId="20" r:id="rId56"/>
    <sheet name=".-" sheetId="21" r:id="rId57"/>
    <sheet name=".-." sheetId="22" r:id="rId58"/>
    <sheet name="," sheetId="23" r:id="rId59"/>
  </sheets>
  <externalReferences>
    <externalReference r:id="rId60"/>
  </externalReferences>
  <definedNames>
    <definedName name="_4._sz._sor_részletezése" localSheetId="44">#REF!</definedName>
    <definedName name="_4._sz._sor_részletezése" localSheetId="45">#REF!</definedName>
    <definedName name="_4._sz._sor_részletezése" localSheetId="48">#REF!</definedName>
    <definedName name="_4._sz._sor_részletezése">#REF!</definedName>
    <definedName name="_4._sz._sor_részletezése_47" localSheetId="45">#REF!</definedName>
    <definedName name="_4._sz._sor_részletezése_47" localSheetId="47">#REF!</definedName>
    <definedName name="_4._sz._sor_részletezése_47">#REF!</definedName>
    <definedName name="_xlnm.Print_Titles" localSheetId="58">','!$1:$6</definedName>
    <definedName name="_xlnm.Print_Titles" localSheetId="53">'.'!$1:$6</definedName>
    <definedName name="_xlnm.Print_Titles" localSheetId="56">'.-'!$1:$6</definedName>
    <definedName name="_xlnm.Print_Titles" localSheetId="54">'..'!$1:$6</definedName>
    <definedName name="_xlnm.Print_Titles" localSheetId="57">'.-.'!$1:$6</definedName>
    <definedName name="_xlnm.Print_Titles" localSheetId="55">'...'!$1:$6</definedName>
    <definedName name="_xlnm.Print_Titles" localSheetId="1">'1.sz.mell.'!$2:$2</definedName>
    <definedName name="_xlnm.Print_Titles" localSheetId="7">'2. sz. mell '!$1:$5</definedName>
    <definedName name="_xlnm.Print_Titles" localSheetId="8">'3. sz. mell'!$1:$5</definedName>
    <definedName name="_xlnm.Print_Titles" localSheetId="9">'3.1.asz.melléklet'!$1:$1</definedName>
    <definedName name="_xlnm.Print_Titles" localSheetId="10">'3.2.sz.melléklet'!$1:$1</definedName>
    <definedName name="_xlnm.Print_Titles" localSheetId="11">'4. sz. mell.'!$1:$6</definedName>
    <definedName name="_xlnm.Print_Titles" localSheetId="12">'4.1 sz. mell'!$1:$6</definedName>
    <definedName name="_xlnm.Print_Titles" localSheetId="13">'4.2. sz. mell'!$1:$6</definedName>
    <definedName name="_xlnm.Print_Titles" localSheetId="14">'4.3 sz. mell'!$1:$6</definedName>
    <definedName name="_xlnm.Print_Titles" localSheetId="15">'4.4.sz. mell.'!$1:$6</definedName>
    <definedName name="_xlnm.Print_Titles" localSheetId="16">'4.5.sz. mell. '!$1:$6</definedName>
    <definedName name="_xlnm.Print_Titles" localSheetId="17">'4.6 sz. mell.'!$1:$6</definedName>
    <definedName name="_xlnm.Print_Titles" localSheetId="18">'4.7.sz. mell.'!$1:$6</definedName>
    <definedName name="_xlnm.Print_Titles" localSheetId="19">'4.8.sz. mell.'!$1:$6</definedName>
    <definedName name="_xlnm.Print_Titles" localSheetId="20">'5. sz. mell. '!$1:$6</definedName>
    <definedName name="_xlnm.Print_Titles" localSheetId="21">'5.1. sz. mell. '!$1:$6</definedName>
    <definedName name="_xlnm.Print_Titles" localSheetId="31">'5.10. sz. mell.'!$1:$6</definedName>
    <definedName name="_xlnm.Print_Titles" localSheetId="32">'5.10.1..sz mell.'!$1:$1</definedName>
    <definedName name="_xlnm.Print_Titles" localSheetId="33">'5.11 sz. mell '!$1:$6</definedName>
    <definedName name="_xlnm.Print_Titles" localSheetId="34">'5.11.1. sz. mell.'!$1:$1</definedName>
    <definedName name="_xlnm.Print_Titles" localSheetId="22">'5.2. sz. mell.  '!$1:$6</definedName>
    <definedName name="_xlnm.Print_Titles" localSheetId="23">'5.3 sz. mell'!$1:$6</definedName>
    <definedName name="_xlnm.Print_Titles" localSheetId="24">'5.4. sz mell'!$1:$6</definedName>
    <definedName name="_xlnm.Print_Titles" localSheetId="25">'5.5. sz. mell.  '!$1:$6</definedName>
    <definedName name="_xlnm.Print_Titles" localSheetId="26">'5.6. sz. mell'!$1:$6</definedName>
    <definedName name="_xlnm.Print_Titles" localSheetId="27">'5.7. sz. mell.'!$1:$6</definedName>
    <definedName name="_xlnm.Print_Titles" localSheetId="28">'5.8. sz. mell.'!$1:$6</definedName>
    <definedName name="_xlnm.Print_Titles" localSheetId="29">'5.9. sz. mell. '!$1:$6</definedName>
    <definedName name="_xlnm.Print_Titles" localSheetId="30">'5.9.1..sz mell.'!$1:$1</definedName>
    <definedName name="_xlnm.Print_Titles" localSheetId="36">'6.2.sz.mell.'!$1:$2</definedName>
    <definedName name="_xlnm.Print_Titles" localSheetId="37">'7.1. sz mell.'!$1:$1</definedName>
    <definedName name="_xlnm.Print_Titles" localSheetId="38">'7.2.. sz mell.'!$1:$1</definedName>
    <definedName name="_xlnm.Print_Titles" localSheetId="42">'9. sz. mell'!$1:$2</definedName>
    <definedName name="_xlnm.Print_Titles" localSheetId="0">'I. sz. mell.'!$1:$1</definedName>
    <definedName name="_xlnm.Print_Area" localSheetId="58">','!$A$1:$G$48</definedName>
    <definedName name="_xlnm.Print_Area" localSheetId="53">'.'!$A$1:$G$53</definedName>
    <definedName name="_xlnm.Print_Area" localSheetId="56">'.-'!$A$1:$G$48</definedName>
    <definedName name="_xlnm.Print_Area" localSheetId="54">'..'!$A$1:$G$48</definedName>
    <definedName name="_xlnm.Print_Area" localSheetId="57">'.-.'!$A$1:$G$48</definedName>
    <definedName name="_xlnm.Print_Area" localSheetId="55">'...'!$A$1:$G$53</definedName>
    <definedName name="_xlnm.Print_Area" localSheetId="2">'1.1.sz.mell  '!$A$1:$I$29</definedName>
    <definedName name="_xlnm.Print_Area" localSheetId="3">'1.2.sz.mell  '!$A$1:$I$30</definedName>
    <definedName name="_xlnm.Print_Area" localSheetId="4">'1.3. sz. mell'!$A$1:$N$54</definedName>
    <definedName name="_xlnm.Print_Area" localSheetId="5">'1.4. sz. mell'!$A$1:$K$22</definedName>
    <definedName name="_xlnm.Print_Area" localSheetId="6">'1.5. sz. mell'!$A$1:$G$15</definedName>
    <definedName name="_xlnm.Print_Area" localSheetId="1">'1.sz.mell.'!$A$1:$F$149</definedName>
    <definedName name="_xlnm.Print_Area" localSheetId="44">'10.sz. mell. '!$A$1:$I$26</definedName>
    <definedName name="_xlnm.Print_Area" localSheetId="50">'16. sz. mell.'!$A$1:$D$36</definedName>
    <definedName name="_xlnm.Print_Area" localSheetId="7">'2. sz. mell '!$A$1:$F$125</definedName>
    <definedName name="_xlnm.Print_Area" localSheetId="9">'3.1.asz.melléklet'!$A$1:$H$143</definedName>
    <definedName name="_xlnm.Print_Area" localSheetId="10">'3.2.sz.melléklet'!$A$1:$H$221</definedName>
    <definedName name="_xlnm.Print_Area" localSheetId="11">'4. sz. mell.'!$A$1:$G$51</definedName>
    <definedName name="_xlnm.Print_Area" localSheetId="12">'4.1 sz. mell'!$A$1:$G$49</definedName>
    <definedName name="_xlnm.Print_Area" localSheetId="13">'4.2. sz. mell'!$A$1:$G$49</definedName>
    <definedName name="_xlnm.Print_Area" localSheetId="14">'4.3 sz. mell'!$A$1:$G$49</definedName>
    <definedName name="_xlnm.Print_Area" localSheetId="15">'4.4.sz. mell.'!$A$1:$G$49</definedName>
    <definedName name="_xlnm.Print_Area" localSheetId="16">'4.5.sz. mell. '!$A$1:$G$49</definedName>
    <definedName name="_xlnm.Print_Area" localSheetId="17">'4.6 sz. mell.'!$A$1:$G$50</definedName>
    <definedName name="_xlnm.Print_Area" localSheetId="18">'4.7.sz. mell.'!$A$1:$G$49</definedName>
    <definedName name="_xlnm.Print_Area" localSheetId="19">'4.8.sz. mell.'!$A$1:$G$50</definedName>
    <definedName name="_xlnm.Print_Area" localSheetId="20">'5. sz. mell. '!$A$1:$G$64</definedName>
    <definedName name="_xlnm.Print_Area" localSheetId="21">'5.1. sz. mell. '!$A$1:$G$52</definedName>
    <definedName name="_xlnm.Print_Area" localSheetId="31">'5.10. sz. mell.'!$A$1:$G$49</definedName>
    <definedName name="_xlnm.Print_Area" localSheetId="32">'5.10.1..sz mell.'!$A$1:$H$181</definedName>
    <definedName name="_xlnm.Print_Area" localSheetId="33">'5.11 sz. mell '!$A$1:$F$48</definedName>
    <definedName name="_xlnm.Print_Area" localSheetId="34">'5.11.1. sz. mell.'!$A$1:$K$166</definedName>
    <definedName name="_xlnm.Print_Area" localSheetId="22">'5.2. sz. mell.  '!$A$1:$G$52</definedName>
    <definedName name="_xlnm.Print_Area" localSheetId="23">'5.3 sz. mell'!$A$1:$G$48</definedName>
    <definedName name="_xlnm.Print_Area" localSheetId="24">'5.4. sz mell'!$A$1:$G$48</definedName>
    <definedName name="_xlnm.Print_Area" localSheetId="25">'5.5. sz. mell.  '!$A$1:$G$48</definedName>
    <definedName name="_xlnm.Print_Area" localSheetId="26">'5.6. sz. mell'!$A$1:$G$48</definedName>
    <definedName name="_xlnm.Print_Area" localSheetId="27">'5.7. sz. mell.'!$A$1:$G$48</definedName>
    <definedName name="_xlnm.Print_Area" localSheetId="28">'5.8. sz. mell.'!$A$1:$G$48</definedName>
    <definedName name="_xlnm.Print_Area" localSheetId="29">'5.9. sz. mell. '!$A$1:$G$49</definedName>
    <definedName name="_xlnm.Print_Area" localSheetId="30">'5.9.1..sz mell.'!$A$1:$H$99</definedName>
    <definedName name="_xlnm.Print_Area" localSheetId="35">'6.1.sz.mell. '!$A$1:$L$28</definedName>
    <definedName name="_xlnm.Print_Area" localSheetId="36">'6.2.sz.mell.'!$A$1:$I$146</definedName>
    <definedName name="_xlnm.Print_Area" localSheetId="37">'7.1. sz mell.'!$A$1:$J$110</definedName>
    <definedName name="_xlnm.Print_Area" localSheetId="38">'7.2.. sz mell.'!$A$1:$G$37</definedName>
    <definedName name="_xlnm.Print_Area" localSheetId="42">'9. sz. mell'!$A$1:$F$47</definedName>
    <definedName name="_xlnm.Print_Area" localSheetId="0">'I. sz. mell.'!$A$1:$E$131</definedName>
  </definedNames>
  <calcPr calcId="144525"/>
</workbook>
</file>

<file path=xl/calcChain.xml><?xml version="1.0" encoding="utf-8"?>
<calcChain xmlns="http://schemas.openxmlformats.org/spreadsheetml/2006/main">
  <c r="D18" i="8" l="1"/>
  <c r="M32" i="69"/>
  <c r="G15" i="71"/>
  <c r="E15" i="71"/>
  <c r="D15" i="71"/>
  <c r="C15" i="71"/>
  <c r="B15" i="71"/>
  <c r="F13" i="71"/>
  <c r="F12" i="71"/>
  <c r="F11" i="71"/>
  <c r="F10" i="71"/>
  <c r="F9" i="71"/>
  <c r="F8" i="71"/>
  <c r="F7" i="71"/>
  <c r="F6" i="71"/>
  <c r="I22" i="70"/>
  <c r="H22" i="70"/>
  <c r="G22" i="70"/>
  <c r="F22" i="70"/>
  <c r="B30" i="70" s="1"/>
  <c r="E22" i="70"/>
  <c r="D22" i="70"/>
  <c r="C22" i="70"/>
  <c r="B22" i="70"/>
  <c r="J21" i="70"/>
  <c r="K21" i="70" s="1"/>
  <c r="J20" i="70"/>
  <c r="K20" i="70" s="1"/>
  <c r="K19" i="70"/>
  <c r="K18" i="70"/>
  <c r="K17" i="70"/>
  <c r="K16" i="70"/>
  <c r="K15" i="70"/>
  <c r="J14" i="70"/>
  <c r="K14" i="70" s="1"/>
  <c r="K13" i="70"/>
  <c r="J13" i="70"/>
  <c r="J12" i="70"/>
  <c r="K12" i="70" s="1"/>
  <c r="K11" i="70"/>
  <c r="J11" i="70"/>
  <c r="J10" i="70"/>
  <c r="K10" i="70" s="1"/>
  <c r="K9" i="70"/>
  <c r="J9" i="70"/>
  <c r="J8" i="70"/>
  <c r="J7" i="70"/>
  <c r="K7" i="70" s="1"/>
  <c r="J6" i="70"/>
  <c r="K6" i="70" s="1"/>
  <c r="C88" i="69"/>
  <c r="D87" i="69" s="1"/>
  <c r="E87" i="69" s="1"/>
  <c r="D86" i="69"/>
  <c r="E86" i="69" s="1"/>
  <c r="D85" i="69"/>
  <c r="E85" i="69" s="1"/>
  <c r="D84" i="69"/>
  <c r="E84" i="69" s="1"/>
  <c r="D82" i="69"/>
  <c r="E82" i="69" s="1"/>
  <c r="D81" i="69"/>
  <c r="E81" i="69" s="1"/>
  <c r="D80" i="69"/>
  <c r="E80" i="69" s="1"/>
  <c r="D78" i="69"/>
  <c r="N54" i="69"/>
  <c r="M53" i="69"/>
  <c r="M52" i="69"/>
  <c r="M51" i="69"/>
  <c r="M50" i="69"/>
  <c r="M49" i="69"/>
  <c r="M48" i="69"/>
  <c r="M47" i="69"/>
  <c r="M46" i="69"/>
  <c r="M45" i="69"/>
  <c r="M44" i="69"/>
  <c r="M43" i="69"/>
  <c r="M42" i="69"/>
  <c r="M41" i="69"/>
  <c r="M40" i="69"/>
  <c r="M39" i="69"/>
  <c r="M38" i="69"/>
  <c r="M37" i="69"/>
  <c r="M36" i="69"/>
  <c r="M35" i="69"/>
  <c r="M34" i="69"/>
  <c r="M33" i="69"/>
  <c r="M31" i="69"/>
  <c r="M30" i="69"/>
  <c r="M29" i="69"/>
  <c r="M28" i="69"/>
  <c r="L27" i="69"/>
  <c r="K27" i="69"/>
  <c r="J27" i="69"/>
  <c r="I27" i="69"/>
  <c r="H27" i="69"/>
  <c r="G27" i="69"/>
  <c r="F27" i="69"/>
  <c r="E27" i="69"/>
  <c r="D27" i="69"/>
  <c r="C27" i="69"/>
  <c r="M26" i="69"/>
  <c r="M25" i="69"/>
  <c r="M24" i="69"/>
  <c r="M23" i="69"/>
  <c r="L22" i="69"/>
  <c r="K22" i="69"/>
  <c r="J22" i="69"/>
  <c r="I22" i="69"/>
  <c r="H22" i="69"/>
  <c r="G22" i="69"/>
  <c r="F22" i="69"/>
  <c r="E22" i="69"/>
  <c r="D22" i="69"/>
  <c r="C22" i="69"/>
  <c r="M21" i="69"/>
  <c r="M20" i="69"/>
  <c r="M19" i="69"/>
  <c r="M18" i="69"/>
  <c r="L17" i="69"/>
  <c r="K17" i="69"/>
  <c r="J17" i="69"/>
  <c r="I17" i="69"/>
  <c r="H17" i="69"/>
  <c r="G17" i="69"/>
  <c r="F17" i="69"/>
  <c r="E17" i="69"/>
  <c r="D17" i="69"/>
  <c r="C17" i="69"/>
  <c r="M16" i="69"/>
  <c r="M15" i="69"/>
  <c r="M14" i="69"/>
  <c r="M13" i="69"/>
  <c r="M12" i="69"/>
  <c r="M11" i="69"/>
  <c r="M10" i="69"/>
  <c r="M9" i="69"/>
  <c r="M8" i="69"/>
  <c r="L7" i="69"/>
  <c r="K7" i="69"/>
  <c r="J7" i="69"/>
  <c r="I7" i="69"/>
  <c r="H7" i="69"/>
  <c r="G7" i="69"/>
  <c r="F7" i="69"/>
  <c r="E7" i="69"/>
  <c r="D7" i="69"/>
  <c r="C7" i="69"/>
  <c r="M6" i="69"/>
  <c r="M5" i="69"/>
  <c r="F54" i="69" l="1"/>
  <c r="J54" i="69"/>
  <c r="C54" i="69"/>
  <c r="K54" i="69"/>
  <c r="G54" i="69"/>
  <c r="B27" i="70" s="1"/>
  <c r="M17" i="69"/>
  <c r="D54" i="69"/>
  <c r="H54" i="69"/>
  <c r="L54" i="69"/>
  <c r="D79" i="69"/>
  <c r="E79" i="69" s="1"/>
  <c r="D83" i="69"/>
  <c r="E83" i="69" s="1"/>
  <c r="B26" i="70"/>
  <c r="F15" i="71"/>
  <c r="M22" i="69"/>
  <c r="M7" i="69"/>
  <c r="E54" i="69"/>
  <c r="B28" i="70" s="1"/>
  <c r="D28" i="70" s="1"/>
  <c r="I54" i="69"/>
  <c r="K22" i="70"/>
  <c r="B32" i="70" s="1"/>
  <c r="B29" i="70"/>
  <c r="J22" i="70"/>
  <c r="M27" i="69"/>
  <c r="M54" i="69" s="1"/>
  <c r="E78" i="69"/>
  <c r="E88" i="69" l="1"/>
  <c r="B31" i="70"/>
  <c r="D88" i="69"/>
  <c r="J25" i="70"/>
  <c r="J26" i="70" s="1"/>
  <c r="B34" i="70" l="1"/>
  <c r="D29" i="5" l="1"/>
  <c r="C35" i="60"/>
  <c r="D35" i="60"/>
  <c r="D29" i="68" l="1"/>
  <c r="D22" i="68"/>
  <c r="E21" i="68"/>
  <c r="E20" i="68"/>
  <c r="E19" i="68"/>
  <c r="E18" i="68"/>
  <c r="C17" i="68"/>
  <c r="B17" i="68"/>
  <c r="E16" i="68"/>
  <c r="B16" i="68"/>
  <c r="C15" i="68"/>
  <c r="C22" i="68" s="1"/>
  <c r="B15" i="68"/>
  <c r="D12" i="68"/>
  <c r="B12" i="68"/>
  <c r="E11" i="68"/>
  <c r="E10" i="68"/>
  <c r="E9" i="68"/>
  <c r="E8" i="68"/>
  <c r="C7" i="68"/>
  <c r="C12" i="68" s="1"/>
  <c r="B7" i="68"/>
  <c r="E6" i="68"/>
  <c r="E5" i="68"/>
  <c r="N30" i="67"/>
  <c r="M30" i="67"/>
  <c r="L30" i="67"/>
  <c r="K30" i="67"/>
  <c r="J30" i="67"/>
  <c r="I30" i="67"/>
  <c r="H30" i="67"/>
  <c r="G30" i="67"/>
  <c r="F30" i="67"/>
  <c r="E30" i="67"/>
  <c r="D30" i="67"/>
  <c r="C30" i="67"/>
  <c r="O30" i="67" s="1"/>
  <c r="O29" i="67"/>
  <c r="O28" i="67"/>
  <c r="O27" i="67"/>
  <c r="O26" i="67"/>
  <c r="O25" i="67"/>
  <c r="O24" i="67"/>
  <c r="O22" i="67"/>
  <c r="O21" i="67"/>
  <c r="O20" i="67"/>
  <c r="O19" i="67"/>
  <c r="O18" i="67"/>
  <c r="O17" i="67"/>
  <c r="O16" i="67"/>
  <c r="N14" i="67"/>
  <c r="N31" i="67" s="1"/>
  <c r="M14" i="67"/>
  <c r="M31" i="67" s="1"/>
  <c r="L14" i="67"/>
  <c r="L31" i="67" s="1"/>
  <c r="K14" i="67"/>
  <c r="J14" i="67"/>
  <c r="J31" i="67" s="1"/>
  <c r="I14" i="67"/>
  <c r="I31" i="67" s="1"/>
  <c r="H14" i="67"/>
  <c r="H31" i="67" s="1"/>
  <c r="G14" i="67"/>
  <c r="F14" i="67"/>
  <c r="F31" i="67" s="1"/>
  <c r="E14" i="67"/>
  <c r="E31" i="67" s="1"/>
  <c r="D14" i="67"/>
  <c r="D31" i="67" s="1"/>
  <c r="C14" i="67"/>
  <c r="O13" i="67"/>
  <c r="O12" i="67"/>
  <c r="O11" i="67"/>
  <c r="O10" i="67"/>
  <c r="O9" i="67"/>
  <c r="O8" i="67"/>
  <c r="O7" i="67"/>
  <c r="O6" i="67"/>
  <c r="O5" i="67"/>
  <c r="O4" i="67"/>
  <c r="C130" i="60"/>
  <c r="E130" i="60"/>
  <c r="C121" i="60"/>
  <c r="D121" i="60"/>
  <c r="E121" i="60"/>
  <c r="C105" i="60"/>
  <c r="D130" i="60"/>
  <c r="C7" i="60"/>
  <c r="D7" i="60"/>
  <c r="C15" i="60"/>
  <c r="D15" i="60"/>
  <c r="D105" i="60"/>
  <c r="C44" i="60"/>
  <c r="C50" i="60" s="1"/>
  <c r="D44" i="60"/>
  <c r="D50" i="60" s="1"/>
  <c r="C23" i="60"/>
  <c r="D23" i="60"/>
  <c r="C59" i="60"/>
  <c r="D59" i="60"/>
  <c r="E59" i="60"/>
  <c r="C80" i="60"/>
  <c r="C131" i="60" s="1"/>
  <c r="D80" i="60"/>
  <c r="C68" i="60"/>
  <c r="D68" i="60"/>
  <c r="E68" i="60"/>
  <c r="I18" i="62"/>
  <c r="H17" i="62"/>
  <c r="G17" i="62"/>
  <c r="F17" i="62"/>
  <c r="E17" i="62"/>
  <c r="D17" i="62"/>
  <c r="I16" i="62"/>
  <c r="H15" i="62"/>
  <c r="F15" i="62"/>
  <c r="E15" i="62"/>
  <c r="D15" i="62"/>
  <c r="I14" i="62"/>
  <c r="H13" i="62"/>
  <c r="F13" i="62"/>
  <c r="E13" i="62"/>
  <c r="D13" i="62"/>
  <c r="I12" i="62"/>
  <c r="I11" i="62"/>
  <c r="I10" i="62"/>
  <c r="I9" i="62"/>
  <c r="I8" i="62"/>
  <c r="H7" i="62"/>
  <c r="G7" i="62"/>
  <c r="G19" i="62" s="1"/>
  <c r="F7" i="62"/>
  <c r="F19" i="62" s="1"/>
  <c r="E7" i="62"/>
  <c r="D7" i="62"/>
  <c r="I6" i="62"/>
  <c r="H5" i="62"/>
  <c r="H19" i="62" s="1"/>
  <c r="F5" i="62"/>
  <c r="E5" i="62"/>
  <c r="D5" i="62"/>
  <c r="H10" i="61"/>
  <c r="G10" i="61"/>
  <c r="F10" i="61"/>
  <c r="E10" i="61"/>
  <c r="H5" i="61"/>
  <c r="H18" i="61" s="1"/>
  <c r="G5" i="61"/>
  <c r="G18" i="61" s="1"/>
  <c r="F5" i="61"/>
  <c r="F18" i="61" s="1"/>
  <c r="E5" i="61"/>
  <c r="E18" i="61" s="1"/>
  <c r="D27" i="52"/>
  <c r="D25" i="52" s="1"/>
  <c r="D24" i="52" s="1"/>
  <c r="D15" i="52"/>
  <c r="D14" i="52" s="1"/>
  <c r="D11" i="52"/>
  <c r="D2" i="52" s="1"/>
  <c r="F55" i="59"/>
  <c r="F44" i="59"/>
  <c r="F42" i="59"/>
  <c r="F41" i="59" s="1"/>
  <c r="F40" i="59" s="1"/>
  <c r="F39" i="59"/>
  <c r="F37" i="59"/>
  <c r="F35" i="59"/>
  <c r="F34" i="59"/>
  <c r="F33" i="59"/>
  <c r="F32" i="59"/>
  <c r="F27" i="59"/>
  <c r="F26" i="59"/>
  <c r="E25" i="59"/>
  <c r="D25" i="59"/>
  <c r="F24" i="59"/>
  <c r="F23" i="59"/>
  <c r="F21" i="59"/>
  <c r="F20" i="59"/>
  <c r="F19" i="59" s="1"/>
  <c r="F18" i="59"/>
  <c r="F17" i="59"/>
  <c r="F16" i="59" s="1"/>
  <c r="F13" i="59"/>
  <c r="F9" i="59"/>
  <c r="F5" i="59"/>
  <c r="F11" i="59" s="1"/>
  <c r="F4" i="59"/>
  <c r="D57" i="4"/>
  <c r="I166" i="37"/>
  <c r="D47" i="36" s="1"/>
  <c r="D63" i="17" s="1"/>
  <c r="I5" i="51"/>
  <c r="D23" i="17"/>
  <c r="D33" i="4" s="1"/>
  <c r="C39" i="1" s="1"/>
  <c r="E10" i="60" s="1"/>
  <c r="E5" i="35"/>
  <c r="G4" i="57"/>
  <c r="H4" i="57"/>
  <c r="E129" i="7" s="1"/>
  <c r="E4" i="57"/>
  <c r="I146" i="58"/>
  <c r="K124" i="58"/>
  <c r="J124" i="58"/>
  <c r="H124" i="58"/>
  <c r="G124" i="58"/>
  <c r="E124" i="58"/>
  <c r="K122" i="58"/>
  <c r="J122" i="58"/>
  <c r="L121" i="58"/>
  <c r="K119" i="58"/>
  <c r="J119" i="58"/>
  <c r="K117" i="58"/>
  <c r="J117" i="58"/>
  <c r="K114" i="58"/>
  <c r="J114" i="58"/>
  <c r="K112" i="58"/>
  <c r="J112" i="58"/>
  <c r="K109" i="58"/>
  <c r="J109" i="58"/>
  <c r="K106" i="58"/>
  <c r="J106" i="58"/>
  <c r="K103" i="58"/>
  <c r="J103" i="58"/>
  <c r="K101" i="58"/>
  <c r="J101" i="58"/>
  <c r="I100" i="58"/>
  <c r="I99" i="58"/>
  <c r="I98" i="58"/>
  <c r="I97" i="58"/>
  <c r="I96" i="58"/>
  <c r="I95" i="58"/>
  <c r="I94" i="58"/>
  <c r="I93" i="58"/>
  <c r="I92" i="58"/>
  <c r="I91" i="58"/>
  <c r="K90" i="58"/>
  <c r="K89" i="58" s="1"/>
  <c r="J90" i="58"/>
  <c r="H90" i="58"/>
  <c r="D42" i="8" s="1"/>
  <c r="E90" i="58"/>
  <c r="E89" i="58" s="1"/>
  <c r="J89" i="58"/>
  <c r="G89" i="58"/>
  <c r="F89" i="58"/>
  <c r="I88" i="58"/>
  <c r="I87" i="58"/>
  <c r="I86" i="58"/>
  <c r="I85" i="58"/>
  <c r="I84" i="58"/>
  <c r="I83" i="58"/>
  <c r="I82" i="58"/>
  <c r="I81" i="58"/>
  <c r="I80" i="58"/>
  <c r="K79" i="58"/>
  <c r="J79" i="58"/>
  <c r="H79" i="58"/>
  <c r="E79" i="58"/>
  <c r="I78" i="58"/>
  <c r="I77" i="58"/>
  <c r="I76" i="58"/>
  <c r="I75" i="58"/>
  <c r="I74" i="58"/>
  <c r="I73" i="58"/>
  <c r="H72" i="58"/>
  <c r="E72" i="58"/>
  <c r="I71" i="58"/>
  <c r="I70" i="58"/>
  <c r="I69" i="58"/>
  <c r="I68" i="58"/>
  <c r="I67" i="58"/>
  <c r="I66" i="58"/>
  <c r="I65" i="58"/>
  <c r="I64" i="58"/>
  <c r="I63" i="58"/>
  <c r="I62" i="58"/>
  <c r="I61" i="58"/>
  <c r="I60" i="58"/>
  <c r="I59" i="58"/>
  <c r="I58" i="58"/>
  <c r="I57" i="58"/>
  <c r="I56" i="58"/>
  <c r="I55" i="58"/>
  <c r="I54" i="58"/>
  <c r="I53" i="58"/>
  <c r="I52" i="58"/>
  <c r="I51" i="58"/>
  <c r="I50" i="58"/>
  <c r="I49" i="58"/>
  <c r="I48" i="58"/>
  <c r="I47" i="58"/>
  <c r="I46" i="58"/>
  <c r="I45" i="58"/>
  <c r="I44" i="58"/>
  <c r="I43" i="58"/>
  <c r="I42" i="58"/>
  <c r="I41" i="58"/>
  <c r="I40" i="58"/>
  <c r="I39" i="58"/>
  <c r="I38" i="58"/>
  <c r="K37" i="58"/>
  <c r="J37" i="58"/>
  <c r="H37" i="58"/>
  <c r="E37" i="58"/>
  <c r="I24" i="58"/>
  <c r="I23" i="58"/>
  <c r="I22" i="58"/>
  <c r="I21" i="58"/>
  <c r="I20" i="58"/>
  <c r="I19" i="58"/>
  <c r="I18" i="58"/>
  <c r="I17" i="58"/>
  <c r="I16" i="58"/>
  <c r="I15" i="58"/>
  <c r="I14" i="58"/>
  <c r="I13" i="58"/>
  <c r="I12" i="58"/>
  <c r="I11" i="58"/>
  <c r="I10" i="58"/>
  <c r="I9" i="58"/>
  <c r="I8" i="58"/>
  <c r="I7" i="58"/>
  <c r="I6" i="58"/>
  <c r="I5" i="58"/>
  <c r="K4" i="58"/>
  <c r="J4" i="58"/>
  <c r="H4" i="58"/>
  <c r="H3" i="58" s="1"/>
  <c r="E130" i="7" s="1"/>
  <c r="D84" i="5" s="1"/>
  <c r="G4" i="58"/>
  <c r="E4" i="58"/>
  <c r="J3" i="58"/>
  <c r="J146" i="58"/>
  <c r="G3" i="58"/>
  <c r="E3" i="58"/>
  <c r="H28" i="57"/>
  <c r="G28" i="57"/>
  <c r="E28" i="57"/>
  <c r="K23" i="57"/>
  <c r="J23" i="57"/>
  <c r="I23" i="57"/>
  <c r="I22" i="57"/>
  <c r="I21" i="57"/>
  <c r="I20" i="57"/>
  <c r="I19" i="57"/>
  <c r="I18" i="57"/>
  <c r="I17" i="57"/>
  <c r="I16" i="57"/>
  <c r="I15" i="57"/>
  <c r="I14" i="57"/>
  <c r="I13" i="57"/>
  <c r="I12" i="57"/>
  <c r="I11" i="57"/>
  <c r="I10" i="57"/>
  <c r="I9" i="57"/>
  <c r="I8" i="57"/>
  <c r="I7" i="57"/>
  <c r="I6" i="57"/>
  <c r="I5" i="57"/>
  <c r="I28" i="57" s="1"/>
  <c r="K4" i="57"/>
  <c r="K28" i="57" s="1"/>
  <c r="J4" i="57"/>
  <c r="J28" i="57" s="1"/>
  <c r="C8" i="43"/>
  <c r="E164" i="7"/>
  <c r="E17" i="6"/>
  <c r="I60" i="40"/>
  <c r="D50" i="5"/>
  <c r="D46" i="4" s="1"/>
  <c r="D48" i="5"/>
  <c r="D41" i="4" s="1"/>
  <c r="E101" i="35"/>
  <c r="E16" i="35"/>
  <c r="E70" i="33"/>
  <c r="E21" i="33"/>
  <c r="E152" i="7"/>
  <c r="F7" i="41"/>
  <c r="F9" i="6"/>
  <c r="G9" i="6"/>
  <c r="D24" i="23"/>
  <c r="E24" i="23"/>
  <c r="F24" i="23"/>
  <c r="D17" i="24"/>
  <c r="E17" i="24"/>
  <c r="F17" i="24"/>
  <c r="E140" i="35"/>
  <c r="F16" i="35"/>
  <c r="G16" i="35"/>
  <c r="D6" i="43"/>
  <c r="D7" i="43"/>
  <c r="D5" i="43"/>
  <c r="F72" i="6"/>
  <c r="F71" i="6" s="1"/>
  <c r="F70" i="6" s="1"/>
  <c r="F47" i="5"/>
  <c r="F40" i="4" s="1"/>
  <c r="E47" i="5"/>
  <c r="E40" i="4" s="1"/>
  <c r="G67" i="33"/>
  <c r="S100" i="37"/>
  <c r="E29" i="17" s="1"/>
  <c r="T100" i="37"/>
  <c r="F29" i="17" s="1"/>
  <c r="R100" i="37"/>
  <c r="F26" i="17"/>
  <c r="E26" i="17"/>
  <c r="F24" i="17"/>
  <c r="E24" i="17"/>
  <c r="E35" i="4" s="1"/>
  <c r="H14" i="6"/>
  <c r="F25" i="5"/>
  <c r="E25" i="5"/>
  <c r="F25" i="17"/>
  <c r="G138" i="35"/>
  <c r="F138" i="35"/>
  <c r="G21" i="33"/>
  <c r="F21" i="33"/>
  <c r="G23" i="20"/>
  <c r="G18" i="16"/>
  <c r="G18" i="9"/>
  <c r="G99" i="6"/>
  <c r="F23" i="5"/>
  <c r="G37" i="6"/>
  <c r="H32" i="6"/>
  <c r="F22" i="5"/>
  <c r="E23" i="5"/>
  <c r="G17" i="6"/>
  <c r="F94" i="5"/>
  <c r="F109" i="4" s="1"/>
  <c r="G213" i="7"/>
  <c r="H100" i="7"/>
  <c r="H86" i="7"/>
  <c r="H85" i="7"/>
  <c r="H84" i="7"/>
  <c r="H83" i="7"/>
  <c r="H82" i="7"/>
  <c r="H81" i="7"/>
  <c r="H87" i="7"/>
  <c r="H80" i="7"/>
  <c r="G14" i="7"/>
  <c r="F36" i="8"/>
  <c r="E36" i="8"/>
  <c r="F10" i="8"/>
  <c r="F35" i="8"/>
  <c r="T95" i="37"/>
  <c r="T96" i="37"/>
  <c r="F107" i="35"/>
  <c r="F43" i="35"/>
  <c r="F40" i="35"/>
  <c r="G70" i="4"/>
  <c r="E212" i="7"/>
  <c r="E12" i="5"/>
  <c r="F12" i="5"/>
  <c r="E9" i="6"/>
  <c r="E7" i="6" s="1"/>
  <c r="D18" i="5" s="1"/>
  <c r="D27" i="3"/>
  <c r="E27" i="3"/>
  <c r="C28" i="3"/>
  <c r="D8" i="2"/>
  <c r="E8" i="2"/>
  <c r="E74" i="4"/>
  <c r="D28" i="3" s="1"/>
  <c r="D73" i="4"/>
  <c r="E25" i="17"/>
  <c r="I20" i="20"/>
  <c r="H20" i="20"/>
  <c r="J20" i="20" s="1"/>
  <c r="G20" i="20"/>
  <c r="G20" i="18"/>
  <c r="D93" i="4"/>
  <c r="C5" i="43"/>
  <c r="C7" i="43"/>
  <c r="C6" i="43"/>
  <c r="C115" i="1"/>
  <c r="C148" i="1"/>
  <c r="D115" i="1"/>
  <c r="D148" i="1" s="1"/>
  <c r="C12" i="1"/>
  <c r="G24" i="3"/>
  <c r="C27" i="2"/>
  <c r="D27" i="2"/>
  <c r="G27" i="2"/>
  <c r="H27" i="2"/>
  <c r="C27" i="3"/>
  <c r="C28" i="1"/>
  <c r="D28" i="1"/>
  <c r="E28" i="1"/>
  <c r="C36" i="1"/>
  <c r="D36" i="1"/>
  <c r="E36" i="1"/>
  <c r="C38" i="1"/>
  <c r="C40" i="1"/>
  <c r="C42" i="1"/>
  <c r="D42" i="1"/>
  <c r="E42" i="1"/>
  <c r="C43" i="1"/>
  <c r="D43" i="1"/>
  <c r="E43" i="1"/>
  <c r="C44" i="1"/>
  <c r="D44" i="1"/>
  <c r="E44" i="1"/>
  <c r="C45" i="1"/>
  <c r="C50" i="1"/>
  <c r="D50" i="1"/>
  <c r="E50" i="1"/>
  <c r="C53" i="1"/>
  <c r="C58" i="1"/>
  <c r="C61" i="1"/>
  <c r="D61" i="1"/>
  <c r="C68" i="1"/>
  <c r="C146" i="1" s="1"/>
  <c r="D68" i="1"/>
  <c r="D60" i="1" s="1"/>
  <c r="D144" i="1" s="1"/>
  <c r="E6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45" i="1"/>
  <c r="D145" i="1"/>
  <c r="E146" i="1"/>
  <c r="C30" i="48"/>
  <c r="D30" i="48"/>
  <c r="F3" i="51"/>
  <c r="F7" i="51" s="1"/>
  <c r="G3" i="51"/>
  <c r="G7" i="51" s="1"/>
  <c r="F4" i="51"/>
  <c r="G4" i="51"/>
  <c r="F6" i="51"/>
  <c r="G6" i="51"/>
  <c r="H7" i="51"/>
  <c r="H8" i="51"/>
  <c r="F10" i="51"/>
  <c r="F8" i="51" s="1"/>
  <c r="G10" i="51"/>
  <c r="G8" i="51" s="1"/>
  <c r="F11" i="51"/>
  <c r="G11" i="51"/>
  <c r="F13" i="51"/>
  <c r="G13" i="51"/>
  <c r="F14" i="51"/>
  <c r="G14" i="51"/>
  <c r="F15" i="51"/>
  <c r="G15" i="51"/>
  <c r="F16" i="51"/>
  <c r="G16" i="51"/>
  <c r="H17" i="51"/>
  <c r="D10" i="4"/>
  <c r="C7" i="1" s="1"/>
  <c r="E17" i="60" s="1"/>
  <c r="E10" i="4"/>
  <c r="D7" i="1"/>
  <c r="F10" i="4"/>
  <c r="E7" i="1" s="1"/>
  <c r="D13" i="4"/>
  <c r="C10" i="1" s="1"/>
  <c r="E13" i="4"/>
  <c r="D10" i="1" s="1"/>
  <c r="F13" i="4"/>
  <c r="E10" i="1" s="1"/>
  <c r="D14" i="4"/>
  <c r="C11" i="1" s="1"/>
  <c r="E14" i="4"/>
  <c r="D11" i="1" s="1"/>
  <c r="F14" i="4"/>
  <c r="E11" i="1" s="1"/>
  <c r="C27" i="1"/>
  <c r="D59" i="4"/>
  <c r="C29" i="1" s="1"/>
  <c r="E59" i="4"/>
  <c r="D29" i="1" s="1"/>
  <c r="F59" i="4"/>
  <c r="E29" i="1" s="1"/>
  <c r="D60" i="4"/>
  <c r="C30" i="1" s="1"/>
  <c r="E60" i="4"/>
  <c r="D30" i="1"/>
  <c r="F60" i="4"/>
  <c r="E30" i="1" s="1"/>
  <c r="D61" i="4"/>
  <c r="C31" i="1" s="1"/>
  <c r="E61" i="4"/>
  <c r="D31" i="1" s="1"/>
  <c r="F61" i="4"/>
  <c r="E31" i="1" s="1"/>
  <c r="D62" i="4"/>
  <c r="C32" i="1" s="1"/>
  <c r="E32" i="4"/>
  <c r="D38" i="1"/>
  <c r="F32" i="4"/>
  <c r="E38" i="1" s="1"/>
  <c r="D70" i="4"/>
  <c r="D85" i="4"/>
  <c r="C87" i="1" s="1"/>
  <c r="E85" i="4"/>
  <c r="D87" i="1" s="1"/>
  <c r="F85" i="4"/>
  <c r="E87" i="1" s="1"/>
  <c r="D86" i="4"/>
  <c r="C88" i="1" s="1"/>
  <c r="D87" i="4"/>
  <c r="C89" i="1"/>
  <c r="E87" i="4"/>
  <c r="D89" i="1" s="1"/>
  <c r="E89" i="1"/>
  <c r="D89" i="4"/>
  <c r="C91" i="1" s="1"/>
  <c r="D91" i="1"/>
  <c r="D90" i="4"/>
  <c r="C92" i="1" s="1"/>
  <c r="E90" i="4"/>
  <c r="D92" i="1" s="1"/>
  <c r="F90" i="4"/>
  <c r="E92" i="1" s="1"/>
  <c r="D93" i="1"/>
  <c r="D92" i="4"/>
  <c r="C94" i="1" s="1"/>
  <c r="E92" i="4"/>
  <c r="D94" i="1" s="1"/>
  <c r="F92" i="4"/>
  <c r="E94" i="1"/>
  <c r="G111" i="4"/>
  <c r="G112" i="4"/>
  <c r="D9" i="5"/>
  <c r="D9" i="4" s="1"/>
  <c r="E9" i="5"/>
  <c r="F9" i="5"/>
  <c r="F9" i="4" s="1"/>
  <c r="D12" i="5"/>
  <c r="D12" i="4"/>
  <c r="C9" i="1" s="1"/>
  <c r="E20" i="60" s="1"/>
  <c r="E15" i="5"/>
  <c r="E12" i="4" s="1"/>
  <c r="D9" i="1" s="1"/>
  <c r="F15" i="5"/>
  <c r="F12" i="4" s="1"/>
  <c r="D22" i="5"/>
  <c r="E22" i="5"/>
  <c r="D23" i="5"/>
  <c r="D27" i="5"/>
  <c r="E27" i="5"/>
  <c r="E55" i="4" s="1"/>
  <c r="F27" i="5"/>
  <c r="E29" i="5"/>
  <c r="F29" i="5"/>
  <c r="E34" i="5"/>
  <c r="F34" i="5"/>
  <c r="G34" i="5" s="1"/>
  <c r="D39" i="5"/>
  <c r="D36" i="5" s="1"/>
  <c r="E39" i="5"/>
  <c r="E31" i="4" s="1"/>
  <c r="F39" i="5"/>
  <c r="E42" i="5"/>
  <c r="F42" i="5"/>
  <c r="D43" i="5"/>
  <c r="E43" i="5"/>
  <c r="F43" i="5"/>
  <c r="D52" i="5"/>
  <c r="D49" i="5" s="1"/>
  <c r="E52" i="5"/>
  <c r="E48" i="4" s="1"/>
  <c r="F52" i="5"/>
  <c r="F48" i="4" s="1"/>
  <c r="D56" i="5"/>
  <c r="D51" i="4" s="1"/>
  <c r="E56" i="5"/>
  <c r="E51" i="4" s="1"/>
  <c r="F56" i="5"/>
  <c r="F51" i="4" s="1"/>
  <c r="D60" i="5"/>
  <c r="D58" i="5" s="1"/>
  <c r="D61" i="5"/>
  <c r="E64" i="5"/>
  <c r="F64" i="5"/>
  <c r="D69" i="5"/>
  <c r="D80" i="5"/>
  <c r="D91" i="4" s="1"/>
  <c r="C93" i="1" s="1"/>
  <c r="E94" i="5"/>
  <c r="E109" i="4" s="1"/>
  <c r="E96" i="5"/>
  <c r="E113" i="4" s="1"/>
  <c r="F96" i="5"/>
  <c r="F113" i="4" s="1"/>
  <c r="D98" i="5"/>
  <c r="D96" i="4" s="1"/>
  <c r="C110" i="1" s="1"/>
  <c r="E78" i="60" s="1"/>
  <c r="E98" i="5"/>
  <c r="E96" i="4" s="1"/>
  <c r="F98" i="5"/>
  <c r="F96" i="4" s="1"/>
  <c r="E104" i="5"/>
  <c r="E117" i="4" s="1"/>
  <c r="F104" i="5"/>
  <c r="F117" i="4" s="1"/>
  <c r="E106" i="5"/>
  <c r="F106" i="5"/>
  <c r="D109" i="5"/>
  <c r="E109" i="5"/>
  <c r="F109" i="5"/>
  <c r="E110" i="5"/>
  <c r="F110" i="5"/>
  <c r="E5" i="6"/>
  <c r="F5" i="6"/>
  <c r="G5" i="6"/>
  <c r="F7" i="6"/>
  <c r="E18" i="5" s="1"/>
  <c r="H10" i="6"/>
  <c r="H12" i="6"/>
  <c r="H13" i="6"/>
  <c r="E16" i="6"/>
  <c r="E15" i="6" s="1"/>
  <c r="I6" i="51" s="1"/>
  <c r="F17" i="6"/>
  <c r="F16" i="6" s="1"/>
  <c r="H18" i="6"/>
  <c r="H19" i="6"/>
  <c r="H24" i="6"/>
  <c r="E30" i="6"/>
  <c r="F30" i="6"/>
  <c r="G30" i="6"/>
  <c r="H31" i="6"/>
  <c r="H35" i="6"/>
  <c r="H36" i="6"/>
  <c r="E37" i="6"/>
  <c r="F37" i="6"/>
  <c r="E11" i="5"/>
  <c r="H38" i="6"/>
  <c r="H39" i="6"/>
  <c r="H40" i="6"/>
  <c r="H41" i="6"/>
  <c r="E45" i="6"/>
  <c r="F45" i="6"/>
  <c r="G45" i="6"/>
  <c r="H48" i="6"/>
  <c r="E49" i="6"/>
  <c r="D28" i="5" s="1"/>
  <c r="F49" i="6"/>
  <c r="E28" i="5" s="1"/>
  <c r="G49" i="6"/>
  <c r="F28" i="5"/>
  <c r="H50" i="6"/>
  <c r="H51" i="6"/>
  <c r="H52" i="6"/>
  <c r="H53" i="6"/>
  <c r="H54" i="6"/>
  <c r="H55" i="6"/>
  <c r="H56" i="6"/>
  <c r="H57" i="6"/>
  <c r="H59" i="6"/>
  <c r="H60" i="6"/>
  <c r="H61" i="6"/>
  <c r="H62" i="6"/>
  <c r="H63" i="6"/>
  <c r="H64" i="6"/>
  <c r="H65" i="6"/>
  <c r="H66" i="6"/>
  <c r="H67" i="6"/>
  <c r="H68" i="6"/>
  <c r="H69" i="6"/>
  <c r="E72" i="6"/>
  <c r="E71" i="6" s="1"/>
  <c r="E70" i="6" s="1"/>
  <c r="G72" i="6"/>
  <c r="G71" i="6" s="1"/>
  <c r="H73" i="6"/>
  <c r="H76" i="6"/>
  <c r="H77" i="6"/>
  <c r="H79" i="6"/>
  <c r="H80" i="6"/>
  <c r="H81" i="6"/>
  <c r="E82" i="6"/>
  <c r="F82" i="6"/>
  <c r="E54" i="5" s="1"/>
  <c r="G82" i="6"/>
  <c r="F54" i="5" s="1"/>
  <c r="H86" i="6"/>
  <c r="E88" i="6"/>
  <c r="F88" i="6"/>
  <c r="E59" i="5" s="1"/>
  <c r="G88" i="6"/>
  <c r="E90" i="6"/>
  <c r="F90" i="6"/>
  <c r="G90" i="6"/>
  <c r="E92" i="6"/>
  <c r="F92" i="6"/>
  <c r="G92" i="6"/>
  <c r="E99" i="6"/>
  <c r="F99" i="6"/>
  <c r="E50" i="5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E116" i="6"/>
  <c r="F116" i="6"/>
  <c r="G116" i="6"/>
  <c r="H117" i="6"/>
  <c r="E118" i="6"/>
  <c r="F118" i="6"/>
  <c r="G118" i="6"/>
  <c r="E121" i="6"/>
  <c r="E120" i="6" s="1"/>
  <c r="D55" i="5" s="1"/>
  <c r="F121" i="6"/>
  <c r="F120" i="6"/>
  <c r="G121" i="6"/>
  <c r="G120" i="6" s="1"/>
  <c r="H122" i="6"/>
  <c r="H124" i="6"/>
  <c r="E126" i="6"/>
  <c r="F126" i="6"/>
  <c r="G126" i="6"/>
  <c r="H127" i="6"/>
  <c r="H128" i="6"/>
  <c r="H129" i="6"/>
  <c r="H131" i="6"/>
  <c r="H132" i="6"/>
  <c r="E133" i="6"/>
  <c r="F133" i="6"/>
  <c r="E60" i="5" s="1"/>
  <c r="G133" i="6"/>
  <c r="F60" i="5" s="1"/>
  <c r="E135" i="6"/>
  <c r="E138" i="6" s="1"/>
  <c r="F135" i="6"/>
  <c r="G135" i="6"/>
  <c r="E4" i="7"/>
  <c r="F4" i="7"/>
  <c r="G4" i="7"/>
  <c r="E11" i="7"/>
  <c r="E7" i="7" s="1"/>
  <c r="D70" i="5" s="1"/>
  <c r="F11" i="7"/>
  <c r="F7" i="7" s="1"/>
  <c r="G11" i="7"/>
  <c r="G7" i="7" s="1"/>
  <c r="E14" i="7"/>
  <c r="F14" i="7"/>
  <c r="H15" i="7"/>
  <c r="H17" i="7"/>
  <c r="E19" i="7"/>
  <c r="D71" i="5" s="1"/>
  <c r="F19" i="7"/>
  <c r="G19" i="7"/>
  <c r="H22" i="7"/>
  <c r="E28" i="7"/>
  <c r="E29" i="7"/>
  <c r="F33" i="7"/>
  <c r="G33" i="7"/>
  <c r="H34" i="7"/>
  <c r="H35" i="7"/>
  <c r="H36" i="7"/>
  <c r="H37" i="7"/>
  <c r="H38" i="7"/>
  <c r="H39" i="7"/>
  <c r="H40" i="7"/>
  <c r="H41" i="7"/>
  <c r="H42" i="7"/>
  <c r="E43" i="7"/>
  <c r="E33" i="7"/>
  <c r="H43" i="7"/>
  <c r="E47" i="7"/>
  <c r="E46" i="7" s="1"/>
  <c r="F46" i="7"/>
  <c r="G46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9" i="7"/>
  <c r="E90" i="7"/>
  <c r="E88" i="7" s="1"/>
  <c r="F88" i="7"/>
  <c r="H91" i="7"/>
  <c r="H92" i="7"/>
  <c r="H93" i="7"/>
  <c r="H94" i="7"/>
  <c r="H95" i="7"/>
  <c r="H96" i="7"/>
  <c r="H97" i="7"/>
  <c r="H98" i="7"/>
  <c r="H99" i="7"/>
  <c r="H101" i="7"/>
  <c r="H102" i="7"/>
  <c r="H103" i="7"/>
  <c r="H104" i="7"/>
  <c r="H105" i="7"/>
  <c r="E106" i="7"/>
  <c r="D72" i="5" s="1"/>
  <c r="F106" i="7"/>
  <c r="E72" i="5"/>
  <c r="G106" i="7"/>
  <c r="F72" i="5" s="1"/>
  <c r="H107" i="7"/>
  <c r="H108" i="7"/>
  <c r="H109" i="7"/>
  <c r="H110" i="7"/>
  <c r="G114" i="7"/>
  <c r="F99" i="5" s="1"/>
  <c r="E125" i="7"/>
  <c r="F125" i="7"/>
  <c r="G125" i="7"/>
  <c r="E131" i="7"/>
  <c r="F131" i="7"/>
  <c r="G131" i="7"/>
  <c r="H132" i="7"/>
  <c r="E134" i="7"/>
  <c r="D93" i="5" s="1"/>
  <c r="D92" i="5" s="1"/>
  <c r="F134" i="7"/>
  <c r="E93" i="5" s="1"/>
  <c r="G134" i="7"/>
  <c r="F93" i="5" s="1"/>
  <c r="H135" i="7"/>
  <c r="H136" i="7"/>
  <c r="H137" i="7"/>
  <c r="E139" i="7"/>
  <c r="I16" i="51" s="1"/>
  <c r="F139" i="7"/>
  <c r="G139" i="7"/>
  <c r="H140" i="7"/>
  <c r="H141" i="7"/>
  <c r="H142" i="7"/>
  <c r="H143" i="7"/>
  <c r="H144" i="7"/>
  <c r="G148" i="7"/>
  <c r="G149" i="7" s="1"/>
  <c r="E151" i="7"/>
  <c r="I10" i="51" s="1"/>
  <c r="I8" i="51" s="1"/>
  <c r="F152" i="7"/>
  <c r="F151" i="7" s="1"/>
  <c r="G152" i="7"/>
  <c r="G151" i="7" s="1"/>
  <c r="H154" i="7"/>
  <c r="H156" i="7"/>
  <c r="E161" i="7"/>
  <c r="F161" i="7"/>
  <c r="G161" i="7"/>
  <c r="H162" i="7"/>
  <c r="H163" i="7"/>
  <c r="H164" i="7"/>
  <c r="E171" i="7"/>
  <c r="F171" i="7"/>
  <c r="G171" i="7"/>
  <c r="H171" i="7" s="1"/>
  <c r="H172" i="7"/>
  <c r="H173" i="7"/>
  <c r="H174" i="7"/>
  <c r="H175" i="7"/>
  <c r="H176" i="7"/>
  <c r="H177" i="7"/>
  <c r="E178" i="7"/>
  <c r="F178" i="7"/>
  <c r="G178" i="7"/>
  <c r="H179" i="7"/>
  <c r="H180" i="7"/>
  <c r="H181" i="7"/>
  <c r="H182" i="7"/>
  <c r="E183" i="7"/>
  <c r="F183" i="7"/>
  <c r="G183" i="7"/>
  <c r="H184" i="7"/>
  <c r="H185" i="7"/>
  <c r="H186" i="7"/>
  <c r="H187" i="7"/>
  <c r="E188" i="7"/>
  <c r="F188" i="7"/>
  <c r="G188" i="7"/>
  <c r="H189" i="7"/>
  <c r="E190" i="7"/>
  <c r="F190" i="7"/>
  <c r="G190" i="7"/>
  <c r="H191" i="7"/>
  <c r="E192" i="7"/>
  <c r="F192" i="7"/>
  <c r="H192" i="7" s="1"/>
  <c r="G192" i="7"/>
  <c r="H193" i="7"/>
  <c r="H194" i="7"/>
  <c r="H195" i="7"/>
  <c r="H196" i="7"/>
  <c r="H197" i="7"/>
  <c r="H198" i="7"/>
  <c r="H199" i="7"/>
  <c r="H200" i="7"/>
  <c r="E201" i="7"/>
  <c r="F201" i="7"/>
  <c r="G201" i="7"/>
  <c r="H202" i="7"/>
  <c r="E203" i="7"/>
  <c r="F203" i="7"/>
  <c r="G203" i="7"/>
  <c r="H204" i="7"/>
  <c r="H205" i="7"/>
  <c r="H206" i="7"/>
  <c r="E207" i="7"/>
  <c r="F207" i="7"/>
  <c r="G207" i="7"/>
  <c r="H209" i="7"/>
  <c r="E211" i="7"/>
  <c r="F211" i="7"/>
  <c r="E69" i="5" s="1"/>
  <c r="G211" i="7"/>
  <c r="F69" i="5" s="1"/>
  <c r="F212" i="7"/>
  <c r="G212" i="7"/>
  <c r="E213" i="7"/>
  <c r="F213" i="7"/>
  <c r="E215" i="7"/>
  <c r="E217" i="7" s="1"/>
  <c r="F215" i="7"/>
  <c r="G215" i="7"/>
  <c r="G217" i="7" s="1"/>
  <c r="E216" i="7"/>
  <c r="F216" i="7"/>
  <c r="G216" i="7"/>
  <c r="D9" i="8"/>
  <c r="E9" i="8"/>
  <c r="F9" i="8"/>
  <c r="D10" i="8"/>
  <c r="E10" i="8"/>
  <c r="D11" i="8"/>
  <c r="E11" i="8"/>
  <c r="F11" i="8"/>
  <c r="D12" i="8"/>
  <c r="E12" i="8"/>
  <c r="F12" i="8"/>
  <c r="D13" i="8"/>
  <c r="D16" i="4" s="1"/>
  <c r="E13" i="8"/>
  <c r="F13" i="8"/>
  <c r="D14" i="8"/>
  <c r="E14" i="8"/>
  <c r="F14" i="8"/>
  <c r="D15" i="8"/>
  <c r="E15" i="8"/>
  <c r="F15" i="8"/>
  <c r="D16" i="8"/>
  <c r="E16" i="8"/>
  <c r="F16" i="8"/>
  <c r="E18" i="8"/>
  <c r="F18" i="8"/>
  <c r="G29" i="7" s="1"/>
  <c r="D19" i="8"/>
  <c r="E23" i="7" s="1"/>
  <c r="E19" i="8"/>
  <c r="F19" i="8"/>
  <c r="D20" i="8"/>
  <c r="E20" i="8"/>
  <c r="F20" i="8"/>
  <c r="D21" i="8"/>
  <c r="E21" i="8"/>
  <c r="F21" i="8"/>
  <c r="D22" i="8"/>
  <c r="E22" i="8"/>
  <c r="F22" i="8"/>
  <c r="D23" i="8"/>
  <c r="D26" i="4" s="1"/>
  <c r="E23" i="8"/>
  <c r="E16" i="4" s="1"/>
  <c r="F23" i="8"/>
  <c r="F16" i="4" s="1"/>
  <c r="D24" i="8"/>
  <c r="E24" i="8"/>
  <c r="F24" i="8"/>
  <c r="D26" i="8"/>
  <c r="E26" i="8"/>
  <c r="F26" i="8"/>
  <c r="D27" i="8"/>
  <c r="E27" i="8"/>
  <c r="F27" i="8"/>
  <c r="F25" i="8" s="1"/>
  <c r="E28" i="8"/>
  <c r="F28" i="8"/>
  <c r="E29" i="8"/>
  <c r="F29" i="8"/>
  <c r="D34" i="8"/>
  <c r="E34" i="8"/>
  <c r="F34" i="8"/>
  <c r="D35" i="8"/>
  <c r="E35" i="8"/>
  <c r="D36" i="8"/>
  <c r="D37" i="8"/>
  <c r="E37" i="8"/>
  <c r="F37" i="8"/>
  <c r="D38" i="8"/>
  <c r="E39" i="8"/>
  <c r="F39" i="8"/>
  <c r="E40" i="8"/>
  <c r="E99" i="4" s="1"/>
  <c r="D88" i="1"/>
  <c r="F40" i="8"/>
  <c r="F99" i="4" s="1"/>
  <c r="E42" i="8"/>
  <c r="F42" i="8"/>
  <c r="E43" i="8"/>
  <c r="F43" i="8"/>
  <c r="D44" i="8"/>
  <c r="E44" i="8"/>
  <c r="F44" i="8"/>
  <c r="D45" i="8"/>
  <c r="E45" i="8"/>
  <c r="F45" i="8"/>
  <c r="D46" i="8"/>
  <c r="E46" i="8"/>
  <c r="F46" i="8"/>
  <c r="E47" i="8"/>
  <c r="F47" i="8"/>
  <c r="D50" i="8"/>
  <c r="E50" i="8"/>
  <c r="F50" i="8"/>
  <c r="D51" i="8"/>
  <c r="E51" i="8"/>
  <c r="F51" i="8"/>
  <c r="D8" i="9"/>
  <c r="E8" i="9"/>
  <c r="D17" i="9"/>
  <c r="E17" i="9"/>
  <c r="F17" i="9"/>
  <c r="D25" i="9"/>
  <c r="D30" i="9" s="1"/>
  <c r="E25" i="9"/>
  <c r="F25" i="9"/>
  <c r="G28" i="9"/>
  <c r="D33" i="9"/>
  <c r="E33" i="9"/>
  <c r="G34" i="9"/>
  <c r="G35" i="9"/>
  <c r="G38" i="9"/>
  <c r="D39" i="9"/>
  <c r="E39" i="9"/>
  <c r="F39" i="9"/>
  <c r="G40" i="9"/>
  <c r="D8" i="10"/>
  <c r="E8" i="10"/>
  <c r="F8" i="10"/>
  <c r="D17" i="10"/>
  <c r="E17" i="10"/>
  <c r="F17" i="10"/>
  <c r="G18" i="10"/>
  <c r="D25" i="10"/>
  <c r="E25" i="10"/>
  <c r="F25" i="10"/>
  <c r="G28" i="10"/>
  <c r="D33" i="10"/>
  <c r="E33" i="10"/>
  <c r="E46" i="10" s="1"/>
  <c r="G46" i="10" s="1"/>
  <c r="F33" i="10"/>
  <c r="G34" i="10"/>
  <c r="G35" i="10"/>
  <c r="G36" i="10"/>
  <c r="G37" i="10"/>
  <c r="G38" i="10"/>
  <c r="D39" i="10"/>
  <c r="D46" i="10" s="1"/>
  <c r="E39" i="10"/>
  <c r="F39" i="10"/>
  <c r="D8" i="11"/>
  <c r="D30" i="11" s="1"/>
  <c r="E8" i="11"/>
  <c r="F8" i="11"/>
  <c r="D17" i="11"/>
  <c r="E17" i="11"/>
  <c r="F17" i="11"/>
  <c r="D25" i="11"/>
  <c r="E25" i="11"/>
  <c r="F25" i="11"/>
  <c r="G28" i="11"/>
  <c r="D33" i="11"/>
  <c r="E33" i="11"/>
  <c r="F33" i="11"/>
  <c r="G34" i="11"/>
  <c r="G35" i="11"/>
  <c r="G36" i="11"/>
  <c r="D39" i="11"/>
  <c r="D46" i="11" s="1"/>
  <c r="E39" i="11"/>
  <c r="F39" i="11"/>
  <c r="D8" i="12"/>
  <c r="E8" i="12"/>
  <c r="F8" i="12"/>
  <c r="D17" i="12"/>
  <c r="E17" i="12"/>
  <c r="F17" i="12"/>
  <c r="G18" i="12"/>
  <c r="D25" i="12"/>
  <c r="E25" i="12"/>
  <c r="F25" i="12"/>
  <c r="G28" i="12"/>
  <c r="D33" i="12"/>
  <c r="E33" i="12"/>
  <c r="F33" i="12"/>
  <c r="G34" i="12"/>
  <c r="G35" i="12"/>
  <c r="G36" i="12"/>
  <c r="D39" i="12"/>
  <c r="D46" i="12" s="1"/>
  <c r="E39" i="12"/>
  <c r="F39" i="12"/>
  <c r="D8" i="13"/>
  <c r="E8" i="13"/>
  <c r="E30" i="13" s="1"/>
  <c r="F8" i="13"/>
  <c r="D17" i="13"/>
  <c r="E17" i="13"/>
  <c r="F17" i="13"/>
  <c r="G17" i="13" s="1"/>
  <c r="G18" i="13"/>
  <c r="D25" i="13"/>
  <c r="E25" i="13"/>
  <c r="F25" i="13"/>
  <c r="G28" i="13"/>
  <c r="D33" i="13"/>
  <c r="E33" i="13"/>
  <c r="F33" i="13"/>
  <c r="G34" i="13"/>
  <c r="G35" i="13"/>
  <c r="G36" i="13"/>
  <c r="D39" i="13"/>
  <c r="E39" i="13"/>
  <c r="E46" i="13" s="1"/>
  <c r="F39" i="13"/>
  <c r="D8" i="14"/>
  <c r="E8" i="14"/>
  <c r="F8" i="14"/>
  <c r="D17" i="14"/>
  <c r="E17" i="14"/>
  <c r="F17" i="14"/>
  <c r="G18" i="14"/>
  <c r="D25" i="14"/>
  <c r="E25" i="14"/>
  <c r="F25" i="14"/>
  <c r="G28" i="14"/>
  <c r="D30" i="14"/>
  <c r="D34" i="14"/>
  <c r="E34" i="14"/>
  <c r="F34" i="14"/>
  <c r="G35" i="14"/>
  <c r="G36" i="14"/>
  <c r="G37" i="14"/>
  <c r="D40" i="14"/>
  <c r="D47" i="14" s="1"/>
  <c r="E40" i="14"/>
  <c r="F40" i="14"/>
  <c r="D8" i="15"/>
  <c r="E8" i="15"/>
  <c r="F8" i="15"/>
  <c r="D17" i="15"/>
  <c r="E17" i="15"/>
  <c r="F17" i="15"/>
  <c r="G18" i="15"/>
  <c r="D25" i="15"/>
  <c r="E25" i="15"/>
  <c r="E30" i="15" s="1"/>
  <c r="F25" i="15"/>
  <c r="G28" i="15"/>
  <c r="D33" i="15"/>
  <c r="D46" i="15" s="1"/>
  <c r="E33" i="15"/>
  <c r="E46" i="15" s="1"/>
  <c r="F33" i="15"/>
  <c r="G34" i="15"/>
  <c r="G35" i="15"/>
  <c r="G36" i="15"/>
  <c r="D39" i="15"/>
  <c r="E39" i="15"/>
  <c r="F39" i="15"/>
  <c r="D8" i="16"/>
  <c r="E8" i="16"/>
  <c r="F8" i="16"/>
  <c r="D17" i="16"/>
  <c r="E17" i="16"/>
  <c r="F17" i="16"/>
  <c r="G23" i="16"/>
  <c r="D25" i="16"/>
  <c r="E25" i="16"/>
  <c r="F25" i="16"/>
  <c r="F30" i="16" s="1"/>
  <c r="G28" i="16"/>
  <c r="D34" i="16"/>
  <c r="E34" i="16"/>
  <c r="F34" i="16"/>
  <c r="G35" i="16"/>
  <c r="G36" i="16"/>
  <c r="G37" i="16"/>
  <c r="D40" i="16"/>
  <c r="E40" i="16"/>
  <c r="F40" i="16"/>
  <c r="D9" i="17"/>
  <c r="E9" i="17"/>
  <c r="F9" i="17"/>
  <c r="D11" i="17"/>
  <c r="E11" i="17"/>
  <c r="F11" i="17"/>
  <c r="D12" i="17"/>
  <c r="E12" i="17"/>
  <c r="F12" i="17"/>
  <c r="D13" i="17"/>
  <c r="E13" i="17"/>
  <c r="F13" i="17"/>
  <c r="D14" i="17"/>
  <c r="E14" i="17"/>
  <c r="F14" i="17"/>
  <c r="D15" i="17"/>
  <c r="E15" i="17"/>
  <c r="F15" i="17"/>
  <c r="D16" i="17"/>
  <c r="E16" i="17"/>
  <c r="F16" i="17"/>
  <c r="D31" i="17"/>
  <c r="D30" i="17" s="1"/>
  <c r="D37" i="17"/>
  <c r="E41" i="17"/>
  <c r="D47" i="17"/>
  <c r="E47" i="17"/>
  <c r="F47" i="17"/>
  <c r="D49" i="17"/>
  <c r="E49" i="17"/>
  <c r="F49" i="17"/>
  <c r="D51" i="17"/>
  <c r="E51" i="17"/>
  <c r="F51" i="17"/>
  <c r="D53" i="17"/>
  <c r="D54" i="17"/>
  <c r="E60" i="17"/>
  <c r="E63" i="17"/>
  <c r="F63" i="17"/>
  <c r="D8" i="18"/>
  <c r="E8" i="18"/>
  <c r="F8" i="18"/>
  <c r="G11" i="18"/>
  <c r="G16" i="18"/>
  <c r="G18" i="18"/>
  <c r="D26" i="18"/>
  <c r="E26" i="18"/>
  <c r="F26" i="18"/>
  <c r="G29" i="18"/>
  <c r="D34" i="18"/>
  <c r="E34" i="18"/>
  <c r="F34" i="18"/>
  <c r="G35" i="18"/>
  <c r="G36" i="18"/>
  <c r="G37" i="18"/>
  <c r="G38" i="18"/>
  <c r="G39" i="18"/>
  <c r="G40" i="18"/>
  <c r="D43" i="18"/>
  <c r="E43" i="18"/>
  <c r="F43" i="18"/>
  <c r="D51" i="18"/>
  <c r="E51" i="18"/>
  <c r="F51" i="18"/>
  <c r="D8" i="27"/>
  <c r="E8" i="27"/>
  <c r="F8" i="27"/>
  <c r="D17" i="27"/>
  <c r="E17" i="27"/>
  <c r="F17" i="27"/>
  <c r="G18" i="27"/>
  <c r="D24" i="27"/>
  <c r="E24" i="27"/>
  <c r="F24" i="27"/>
  <c r="G27" i="27"/>
  <c r="D32" i="27"/>
  <c r="E32" i="27"/>
  <c r="E45" i="27" s="1"/>
  <c r="G45" i="27" s="1"/>
  <c r="F32" i="27"/>
  <c r="G33" i="27"/>
  <c r="G34" i="27"/>
  <c r="G35" i="27"/>
  <c r="D38" i="27"/>
  <c r="E38" i="27"/>
  <c r="F38" i="27"/>
  <c r="G39" i="27"/>
  <c r="D8" i="28"/>
  <c r="E8" i="28"/>
  <c r="F8" i="28"/>
  <c r="G10" i="28"/>
  <c r="G14" i="28"/>
  <c r="D17" i="28"/>
  <c r="E17" i="28"/>
  <c r="F17" i="28"/>
  <c r="G18" i="28"/>
  <c r="D24" i="28"/>
  <c r="E24" i="28"/>
  <c r="F24" i="28"/>
  <c r="G25" i="28"/>
  <c r="G27" i="28"/>
  <c r="D32" i="28"/>
  <c r="E32" i="28"/>
  <c r="F32" i="28"/>
  <c r="G33" i="28"/>
  <c r="G34" i="28"/>
  <c r="G35" i="28"/>
  <c r="D38" i="28"/>
  <c r="E38" i="28"/>
  <c r="F38" i="28"/>
  <c r="G38" i="28" s="1"/>
  <c r="G39" i="28"/>
  <c r="D8" i="29"/>
  <c r="E8" i="29"/>
  <c r="F8" i="29"/>
  <c r="G14" i="29"/>
  <c r="D17" i="29"/>
  <c r="E17" i="29"/>
  <c r="F17" i="29"/>
  <c r="G18" i="29"/>
  <c r="D24" i="29"/>
  <c r="E24" i="29"/>
  <c r="F24" i="29"/>
  <c r="G27" i="29"/>
  <c r="D29" i="29"/>
  <c r="D32" i="29"/>
  <c r="E32" i="29"/>
  <c r="F32" i="29"/>
  <c r="G33" i="29"/>
  <c r="G34" i="29"/>
  <c r="G35" i="29"/>
  <c r="D38" i="29"/>
  <c r="E38" i="29"/>
  <c r="F38" i="29"/>
  <c r="D8" i="30"/>
  <c r="E8" i="30"/>
  <c r="F8" i="30"/>
  <c r="G10" i="30"/>
  <c r="G11" i="30"/>
  <c r="G14" i="30"/>
  <c r="D17" i="30"/>
  <c r="E17" i="30"/>
  <c r="F17" i="30"/>
  <c r="G18" i="30"/>
  <c r="D24" i="30"/>
  <c r="E24" i="30"/>
  <c r="F24" i="30"/>
  <c r="G27" i="30"/>
  <c r="D32" i="30"/>
  <c r="E32" i="30"/>
  <c r="F32" i="30"/>
  <c r="G33" i="30"/>
  <c r="G34" i="30"/>
  <c r="G35" i="30"/>
  <c r="D38" i="30"/>
  <c r="E38" i="30"/>
  <c r="F38" i="30"/>
  <c r="D8" i="31"/>
  <c r="E8" i="31"/>
  <c r="F8" i="31"/>
  <c r="G10" i="31"/>
  <c r="G11" i="31"/>
  <c r="D17" i="31"/>
  <c r="E17" i="31"/>
  <c r="F17" i="31"/>
  <c r="G18" i="31"/>
  <c r="D24" i="31"/>
  <c r="E24" i="31"/>
  <c r="F24" i="31"/>
  <c r="G27" i="31"/>
  <c r="D32" i="31"/>
  <c r="E32" i="31"/>
  <c r="E45" i="31" s="1"/>
  <c r="F32" i="31"/>
  <c r="G33" i="31"/>
  <c r="G34" i="31"/>
  <c r="G35" i="31"/>
  <c r="D38" i="31"/>
  <c r="E38" i="31"/>
  <c r="F38" i="31"/>
  <c r="D8" i="32"/>
  <c r="E8" i="32"/>
  <c r="F8" i="32"/>
  <c r="D25" i="32"/>
  <c r="E25" i="32"/>
  <c r="F25" i="32"/>
  <c r="D33" i="32"/>
  <c r="D39" i="32"/>
  <c r="E9" i="33"/>
  <c r="F9" i="33"/>
  <c r="G9" i="33"/>
  <c r="H10" i="33"/>
  <c r="H11" i="33"/>
  <c r="H12" i="33"/>
  <c r="H13" i="33"/>
  <c r="E14" i="33"/>
  <c r="F14" i="33"/>
  <c r="G14" i="33"/>
  <c r="H15" i="33"/>
  <c r="H16" i="33"/>
  <c r="H17" i="33"/>
  <c r="H18" i="33"/>
  <c r="E19" i="33"/>
  <c r="F19" i="33"/>
  <c r="G19" i="33"/>
  <c r="H20" i="33"/>
  <c r="E27" i="33"/>
  <c r="F27" i="33"/>
  <c r="G27" i="33"/>
  <c r="H28" i="33"/>
  <c r="H29" i="33"/>
  <c r="H30" i="33"/>
  <c r="H31" i="33"/>
  <c r="E32" i="33"/>
  <c r="F32" i="33"/>
  <c r="G32" i="33"/>
  <c r="H33" i="33"/>
  <c r="H34" i="33"/>
  <c r="H35" i="33"/>
  <c r="H36" i="33"/>
  <c r="E37" i="33"/>
  <c r="F37" i="33"/>
  <c r="G37" i="33"/>
  <c r="H38" i="33"/>
  <c r="H39" i="33"/>
  <c r="H40" i="33"/>
  <c r="H41" i="33"/>
  <c r="E42" i="33"/>
  <c r="F42" i="33"/>
  <c r="G42" i="33"/>
  <c r="H43" i="33"/>
  <c r="H44" i="33"/>
  <c r="H45" i="33"/>
  <c r="H47" i="33"/>
  <c r="H50" i="33"/>
  <c r="E57" i="33"/>
  <c r="F57" i="33"/>
  <c r="G57" i="33"/>
  <c r="H57" i="33" s="1"/>
  <c r="H58" i="33"/>
  <c r="H59" i="33"/>
  <c r="H60" i="33"/>
  <c r="H61" i="33"/>
  <c r="E62" i="33"/>
  <c r="F62" i="33"/>
  <c r="G62" i="33"/>
  <c r="H63" i="33"/>
  <c r="H64" i="33"/>
  <c r="H65" i="33"/>
  <c r="H66" i="33"/>
  <c r="E67" i="33"/>
  <c r="F67" i="33"/>
  <c r="E28" i="32"/>
  <c r="H67" i="33"/>
  <c r="H68" i="33"/>
  <c r="F70" i="33"/>
  <c r="G70" i="33"/>
  <c r="H71" i="33"/>
  <c r="H72" i="33"/>
  <c r="H73" i="33"/>
  <c r="E76" i="33"/>
  <c r="F76" i="33"/>
  <c r="G76" i="33"/>
  <c r="H77" i="33"/>
  <c r="H78" i="33"/>
  <c r="H79" i="33"/>
  <c r="H80" i="33"/>
  <c r="E81" i="33"/>
  <c r="F81" i="33"/>
  <c r="G81" i="33"/>
  <c r="H82" i="33"/>
  <c r="H83" i="33"/>
  <c r="H84" i="33"/>
  <c r="H85" i="33"/>
  <c r="E86" i="33"/>
  <c r="F86" i="33"/>
  <c r="G86" i="33"/>
  <c r="H87" i="33"/>
  <c r="H88" i="33"/>
  <c r="H89" i="33"/>
  <c r="H90" i="33"/>
  <c r="D8" i="34"/>
  <c r="E8" i="34"/>
  <c r="F8" i="34"/>
  <c r="D25" i="34"/>
  <c r="E25" i="34"/>
  <c r="F25" i="34"/>
  <c r="G28" i="34"/>
  <c r="D33" i="34"/>
  <c r="D46" i="34" s="1"/>
  <c r="E38" i="34"/>
  <c r="D39" i="34"/>
  <c r="E39" i="34"/>
  <c r="F39" i="34"/>
  <c r="H5" i="35"/>
  <c r="H6" i="35"/>
  <c r="H7" i="35"/>
  <c r="H8" i="35"/>
  <c r="H9" i="35"/>
  <c r="H10" i="35"/>
  <c r="H17" i="35"/>
  <c r="H18" i="35"/>
  <c r="H19" i="35"/>
  <c r="E22" i="35"/>
  <c r="F22" i="35"/>
  <c r="G22" i="35"/>
  <c r="H23" i="35"/>
  <c r="H24" i="35"/>
  <c r="H25" i="35"/>
  <c r="E27" i="35"/>
  <c r="F27" i="35"/>
  <c r="G27" i="35"/>
  <c r="H28" i="35"/>
  <c r="E30" i="35"/>
  <c r="F30" i="35"/>
  <c r="E21" i="34" s="1"/>
  <c r="G30" i="35"/>
  <c r="F21" i="34" s="1"/>
  <c r="H31" i="35"/>
  <c r="H32" i="35"/>
  <c r="H33" i="35"/>
  <c r="H34" i="35"/>
  <c r="E37" i="35"/>
  <c r="F37" i="35"/>
  <c r="G37" i="35"/>
  <c r="H38" i="35"/>
  <c r="H39" i="35"/>
  <c r="E40" i="35"/>
  <c r="G40" i="35"/>
  <c r="H40" i="35" s="1"/>
  <c r="H41" i="35"/>
  <c r="H42" i="35"/>
  <c r="E43" i="35"/>
  <c r="G43" i="35"/>
  <c r="H44" i="35"/>
  <c r="H45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78" i="35"/>
  <c r="H79" i="35"/>
  <c r="H80" i="35"/>
  <c r="H81" i="35"/>
  <c r="H82" i="35"/>
  <c r="H83" i="35"/>
  <c r="H84" i="35"/>
  <c r="H85" i="35"/>
  <c r="H86" i="35"/>
  <c r="H87" i="35"/>
  <c r="H88" i="35"/>
  <c r="H89" i="35"/>
  <c r="F101" i="35"/>
  <c r="F100" i="35" s="1"/>
  <c r="F99" i="35" s="1"/>
  <c r="G101" i="35"/>
  <c r="H102" i="35"/>
  <c r="E107" i="35"/>
  <c r="E100" i="35" s="1"/>
  <c r="E99" i="35" s="1"/>
  <c r="E114" i="35" s="1"/>
  <c r="H108" i="35"/>
  <c r="E110" i="35"/>
  <c r="F110" i="35"/>
  <c r="H111" i="35"/>
  <c r="H112" i="35"/>
  <c r="H113" i="35"/>
  <c r="E116" i="35"/>
  <c r="F116" i="35"/>
  <c r="H117" i="35"/>
  <c r="E118" i="35"/>
  <c r="F118" i="35"/>
  <c r="H119" i="35"/>
  <c r="E120" i="35"/>
  <c r="F120" i="35"/>
  <c r="H121" i="35"/>
  <c r="G120" i="35"/>
  <c r="H120" i="35" s="1"/>
  <c r="E123" i="35"/>
  <c r="F123" i="35"/>
  <c r="F38" i="34"/>
  <c r="H132" i="35"/>
  <c r="E136" i="35"/>
  <c r="E135" i="35" s="1"/>
  <c r="E134" i="35" s="1"/>
  <c r="F136" i="35"/>
  <c r="H137" i="35"/>
  <c r="H139" i="35"/>
  <c r="F140" i="35"/>
  <c r="G140" i="35"/>
  <c r="H141" i="35"/>
  <c r="E142" i="35"/>
  <c r="F142" i="35"/>
  <c r="G142" i="35"/>
  <c r="H143" i="35"/>
  <c r="E147" i="35"/>
  <c r="F147" i="35"/>
  <c r="H148" i="35"/>
  <c r="E150" i="35"/>
  <c r="F150" i="35"/>
  <c r="G150" i="35"/>
  <c r="H151" i="35"/>
  <c r="E153" i="35"/>
  <c r="F153" i="35"/>
  <c r="H154" i="35"/>
  <c r="H155" i="35"/>
  <c r="E156" i="35"/>
  <c r="F156" i="35"/>
  <c r="G156" i="35"/>
  <c r="H157" i="35"/>
  <c r="H166" i="35"/>
  <c r="E169" i="35"/>
  <c r="E168" i="35" s="1"/>
  <c r="E172" i="35" s="1"/>
  <c r="F169" i="35"/>
  <c r="F168" i="35" s="1"/>
  <c r="G169" i="35"/>
  <c r="H170" i="35"/>
  <c r="H171" i="35"/>
  <c r="H174" i="35"/>
  <c r="H175" i="35"/>
  <c r="H176" i="35"/>
  <c r="E180" i="35"/>
  <c r="K171" i="35" s="1"/>
  <c r="F180" i="35"/>
  <c r="G180" i="35"/>
  <c r="D24" i="36"/>
  <c r="D38" i="36"/>
  <c r="E5" i="37"/>
  <c r="F5" i="37"/>
  <c r="G5" i="37"/>
  <c r="H5" i="37"/>
  <c r="I5" i="37"/>
  <c r="J5" i="37"/>
  <c r="E12" i="37"/>
  <c r="E11" i="37"/>
  <c r="E19" i="37" s="1"/>
  <c r="F12" i="37"/>
  <c r="F11" i="37" s="1"/>
  <c r="F19" i="37" s="1"/>
  <c r="G12" i="37"/>
  <c r="G11" i="37" s="1"/>
  <c r="G19" i="37" s="1"/>
  <c r="H12" i="37"/>
  <c r="H11" i="37" s="1"/>
  <c r="I12" i="37"/>
  <c r="I11" i="37" s="1"/>
  <c r="J12" i="37"/>
  <c r="N23" i="37"/>
  <c r="E27" i="37"/>
  <c r="F27" i="37"/>
  <c r="G27" i="37"/>
  <c r="H27" i="37"/>
  <c r="I27" i="37"/>
  <c r="J27" i="37"/>
  <c r="E34" i="37"/>
  <c r="E33" i="37" s="1"/>
  <c r="E38" i="37" s="1"/>
  <c r="F34" i="37"/>
  <c r="F33" i="37" s="1"/>
  <c r="F38" i="37" s="1"/>
  <c r="G34" i="37"/>
  <c r="G33" i="37" s="1"/>
  <c r="G38" i="37" s="1"/>
  <c r="H34" i="37"/>
  <c r="H33" i="37" s="1"/>
  <c r="H38" i="37" s="1"/>
  <c r="I34" i="37"/>
  <c r="I33" i="37"/>
  <c r="I38" i="37" s="1"/>
  <c r="J34" i="37"/>
  <c r="J33" i="37" s="1"/>
  <c r="E46" i="37"/>
  <c r="F46" i="37"/>
  <c r="G46" i="37"/>
  <c r="H46" i="37"/>
  <c r="I46" i="37"/>
  <c r="J46" i="37"/>
  <c r="E50" i="37"/>
  <c r="F50" i="37"/>
  <c r="G50" i="37"/>
  <c r="H50" i="37"/>
  <c r="N90" i="37" s="1"/>
  <c r="I50" i="37"/>
  <c r="J50" i="37"/>
  <c r="F54" i="37"/>
  <c r="F59" i="37" s="1"/>
  <c r="E55" i="37"/>
  <c r="E54" i="37" s="1"/>
  <c r="E59" i="37" s="1"/>
  <c r="G55" i="37"/>
  <c r="G54" i="37" s="1"/>
  <c r="G59" i="37" s="1"/>
  <c r="H55" i="37"/>
  <c r="H54" i="37" s="1"/>
  <c r="H59" i="37" s="1"/>
  <c r="I55" i="37"/>
  <c r="I54" i="37" s="1"/>
  <c r="J55" i="37"/>
  <c r="J54" i="37" s="1"/>
  <c r="E67" i="37"/>
  <c r="F67" i="37"/>
  <c r="G67" i="37"/>
  <c r="H67" i="37"/>
  <c r="I67" i="37"/>
  <c r="J67" i="37"/>
  <c r="E74" i="37"/>
  <c r="E73" i="37" s="1"/>
  <c r="E79" i="37" s="1"/>
  <c r="E164" i="37" s="1"/>
  <c r="F74" i="37"/>
  <c r="F73" i="37" s="1"/>
  <c r="F79" i="37" s="1"/>
  <c r="F164" i="37" s="1"/>
  <c r="G74" i="37"/>
  <c r="G73" i="37" s="1"/>
  <c r="G79" i="37" s="1"/>
  <c r="G164" i="37" s="1"/>
  <c r="H74" i="37"/>
  <c r="H73" i="37" s="1"/>
  <c r="H79" i="37" s="1"/>
  <c r="I74" i="37"/>
  <c r="I73" i="37" s="1"/>
  <c r="I79" i="37" s="1"/>
  <c r="J74" i="37"/>
  <c r="E87" i="37"/>
  <c r="F87" i="37"/>
  <c r="G87" i="37"/>
  <c r="H87" i="37"/>
  <c r="I87" i="37"/>
  <c r="J87" i="37"/>
  <c r="M90" i="37"/>
  <c r="M101" i="37" s="1"/>
  <c r="O90" i="37"/>
  <c r="P90" i="37"/>
  <c r="Q90" i="37"/>
  <c r="N91" i="37"/>
  <c r="O91" i="37"/>
  <c r="P91" i="37"/>
  <c r="Q91" i="37"/>
  <c r="R91" i="37"/>
  <c r="S91" i="37"/>
  <c r="E33" i="17" s="1"/>
  <c r="E32" i="17" s="1"/>
  <c r="T91" i="37"/>
  <c r="F33" i="17" s="1"/>
  <c r="N92" i="37"/>
  <c r="O92" i="37"/>
  <c r="P92" i="37"/>
  <c r="Q92" i="37"/>
  <c r="R92" i="37"/>
  <c r="S92" i="37"/>
  <c r="E21" i="36" s="1"/>
  <c r="E31" i="17" s="1"/>
  <c r="T92" i="37"/>
  <c r="F21" i="36" s="1"/>
  <c r="F31" i="17" s="1"/>
  <c r="M93" i="37"/>
  <c r="O93" i="37"/>
  <c r="P93" i="37"/>
  <c r="Q93" i="37"/>
  <c r="E94" i="37"/>
  <c r="E93" i="37" s="1"/>
  <c r="E98" i="37" s="1"/>
  <c r="F94" i="37"/>
  <c r="F93" i="37" s="1"/>
  <c r="F98" i="37" s="1"/>
  <c r="G94" i="37"/>
  <c r="G93" i="37" s="1"/>
  <c r="G98" i="37" s="1"/>
  <c r="H94" i="37"/>
  <c r="H93" i="37" s="1"/>
  <c r="H98" i="37" s="1"/>
  <c r="I94" i="37"/>
  <c r="I93" i="37" s="1"/>
  <c r="I98" i="37" s="1"/>
  <c r="J94" i="37"/>
  <c r="J93" i="37" s="1"/>
  <c r="M94" i="37"/>
  <c r="O94" i="37"/>
  <c r="P94" i="37"/>
  <c r="Q94" i="37"/>
  <c r="M95" i="37"/>
  <c r="N95" i="37"/>
  <c r="O95" i="37"/>
  <c r="P95" i="37"/>
  <c r="Q95" i="37"/>
  <c r="R95" i="37"/>
  <c r="D18" i="36" s="1"/>
  <c r="S95" i="37"/>
  <c r="E18" i="36" s="1"/>
  <c r="F18" i="36"/>
  <c r="M96" i="37"/>
  <c r="N96" i="37"/>
  <c r="O96" i="37"/>
  <c r="P96" i="37"/>
  <c r="Q96" i="37"/>
  <c r="R96" i="37"/>
  <c r="D27" i="36" s="1"/>
  <c r="E25" i="7" s="1"/>
  <c r="S96" i="37"/>
  <c r="E27" i="36" s="1"/>
  <c r="F27" i="36"/>
  <c r="G25" i="7" s="1"/>
  <c r="M97" i="37"/>
  <c r="N97" i="37"/>
  <c r="O97" i="37"/>
  <c r="P97" i="37"/>
  <c r="Q97" i="37"/>
  <c r="R97" i="37"/>
  <c r="S97" i="37"/>
  <c r="T97" i="37"/>
  <c r="F19" i="36" s="1"/>
  <c r="P98" i="37"/>
  <c r="Q98" i="37"/>
  <c r="R98" i="37"/>
  <c r="S98" i="37"/>
  <c r="T98" i="37"/>
  <c r="F28" i="36" s="1"/>
  <c r="F41" i="17" s="1"/>
  <c r="F74" i="4" s="1"/>
  <c r="P99" i="37"/>
  <c r="Q99" i="37"/>
  <c r="R99" i="37"/>
  <c r="S99" i="37"/>
  <c r="E38" i="17" s="1"/>
  <c r="T99" i="37"/>
  <c r="F38" i="17" s="1"/>
  <c r="N103" i="37"/>
  <c r="O103" i="37"/>
  <c r="P103" i="37"/>
  <c r="Q103" i="37"/>
  <c r="Q110" i="37" s="1"/>
  <c r="R103" i="37"/>
  <c r="S103" i="37"/>
  <c r="E33" i="36"/>
  <c r="T103" i="37"/>
  <c r="F33" i="36" s="1"/>
  <c r="N104" i="37"/>
  <c r="O104" i="37"/>
  <c r="P104" i="37"/>
  <c r="Q104" i="37"/>
  <c r="R104" i="37"/>
  <c r="D34" i="36" s="1"/>
  <c r="D48" i="17" s="1"/>
  <c r="S104" i="37"/>
  <c r="E34" i="36" s="1"/>
  <c r="T104" i="37"/>
  <c r="F34" i="36" s="1"/>
  <c r="E105" i="37"/>
  <c r="F105" i="37"/>
  <c r="G105" i="37"/>
  <c r="H105" i="37"/>
  <c r="H165" i="37" s="1"/>
  <c r="I105" i="37"/>
  <c r="J105" i="37"/>
  <c r="N105" i="37"/>
  <c r="O105" i="37"/>
  <c r="P105" i="37"/>
  <c r="Q105" i="37"/>
  <c r="R105" i="37"/>
  <c r="D35" i="36" s="1"/>
  <c r="S105" i="37"/>
  <c r="T105" i="37"/>
  <c r="F35" i="36" s="1"/>
  <c r="M106" i="37"/>
  <c r="N106" i="37"/>
  <c r="O106" i="37"/>
  <c r="P106" i="37"/>
  <c r="Q106" i="37"/>
  <c r="R106" i="37"/>
  <c r="S106" i="37"/>
  <c r="E40" i="36" s="1"/>
  <c r="T106" i="37"/>
  <c r="F40" i="36"/>
  <c r="M107" i="37"/>
  <c r="N107" i="37"/>
  <c r="O107" i="37"/>
  <c r="P107" i="37"/>
  <c r="Q107" i="37"/>
  <c r="R107" i="37"/>
  <c r="S107" i="37"/>
  <c r="E39" i="36"/>
  <c r="T107" i="37"/>
  <c r="F39" i="36" s="1"/>
  <c r="M108" i="37"/>
  <c r="O108" i="37"/>
  <c r="P108" i="37"/>
  <c r="Q108" i="37"/>
  <c r="R108" i="37"/>
  <c r="S108" i="37"/>
  <c r="T108" i="37"/>
  <c r="F44" i="36" s="1"/>
  <c r="F60" i="17" s="1"/>
  <c r="M109" i="37"/>
  <c r="M110" i="37"/>
  <c r="O110" i="37"/>
  <c r="P110" i="37"/>
  <c r="O111" i="37"/>
  <c r="P111" i="37"/>
  <c r="Q111" i="37"/>
  <c r="R111" i="37"/>
  <c r="S111" i="37"/>
  <c r="T111" i="37"/>
  <c r="E112" i="37"/>
  <c r="M103" i="37" s="1"/>
  <c r="F112" i="37"/>
  <c r="F111" i="37" s="1"/>
  <c r="F116" i="37" s="1"/>
  <c r="G112" i="37"/>
  <c r="G111" i="37" s="1"/>
  <c r="G116" i="37" s="1"/>
  <c r="H112" i="37"/>
  <c r="I112" i="37"/>
  <c r="I111" i="37" s="1"/>
  <c r="J112" i="37"/>
  <c r="E122" i="37"/>
  <c r="F122" i="37"/>
  <c r="G122" i="37"/>
  <c r="H122" i="37"/>
  <c r="I122" i="37"/>
  <c r="J122" i="37"/>
  <c r="E126" i="37"/>
  <c r="F126" i="37"/>
  <c r="F135" i="37" s="1"/>
  <c r="G126" i="37"/>
  <c r="H126" i="37"/>
  <c r="I126" i="37"/>
  <c r="J126" i="37"/>
  <c r="S90" i="37" s="1"/>
  <c r="F130" i="37"/>
  <c r="E131" i="37"/>
  <c r="E130" i="37" s="1"/>
  <c r="E135" i="37" s="1"/>
  <c r="G131" i="37"/>
  <c r="G130" i="37"/>
  <c r="H131" i="37"/>
  <c r="H130" i="37" s="1"/>
  <c r="I131" i="37"/>
  <c r="I130" i="37" s="1"/>
  <c r="J131" i="37"/>
  <c r="J130" i="37"/>
  <c r="J135" i="37" s="1"/>
  <c r="O138" i="37"/>
  <c r="E143" i="37"/>
  <c r="F143" i="37"/>
  <c r="G143" i="37"/>
  <c r="H143" i="37"/>
  <c r="I143" i="37"/>
  <c r="J143" i="37"/>
  <c r="E150" i="37"/>
  <c r="E149" i="37" s="1"/>
  <c r="E154" i="37" s="1"/>
  <c r="F150" i="37"/>
  <c r="F149" i="37" s="1"/>
  <c r="F154" i="37" s="1"/>
  <c r="G150" i="37"/>
  <c r="G149" i="37" s="1"/>
  <c r="G154" i="37" s="1"/>
  <c r="H150" i="37"/>
  <c r="H149" i="37" s="1"/>
  <c r="H154" i="37" s="1"/>
  <c r="I150" i="37"/>
  <c r="I149" i="37" s="1"/>
  <c r="I154" i="37" s="1"/>
  <c r="J150" i="37"/>
  <c r="J149" i="37" s="1"/>
  <c r="J154" i="37" s="1"/>
  <c r="E162" i="37"/>
  <c r="F162" i="37"/>
  <c r="G162" i="37"/>
  <c r="H162" i="37"/>
  <c r="I162" i="37"/>
  <c r="J162" i="37"/>
  <c r="E165" i="37"/>
  <c r="F165" i="37"/>
  <c r="G165" i="37"/>
  <c r="E166" i="37"/>
  <c r="F166" i="37"/>
  <c r="G166" i="37"/>
  <c r="H166" i="37"/>
  <c r="N111" i="37" s="1"/>
  <c r="E184" i="37"/>
  <c r="F184" i="37"/>
  <c r="D8" i="19"/>
  <c r="D29" i="19" s="1"/>
  <c r="E8" i="19"/>
  <c r="F8" i="19"/>
  <c r="D17" i="19"/>
  <c r="E17" i="19"/>
  <c r="F17" i="19"/>
  <c r="G18" i="19"/>
  <c r="D24" i="19"/>
  <c r="E24" i="19"/>
  <c r="E29" i="19" s="1"/>
  <c r="F24" i="19"/>
  <c r="G27" i="19"/>
  <c r="D32" i="19"/>
  <c r="E32" i="19"/>
  <c r="F32" i="19"/>
  <c r="G33" i="19"/>
  <c r="G34" i="19"/>
  <c r="G35" i="19"/>
  <c r="D38" i="19"/>
  <c r="E38" i="19"/>
  <c r="F38" i="19"/>
  <c r="G39" i="19"/>
  <c r="D8" i="20"/>
  <c r="E8" i="20"/>
  <c r="F8" i="20"/>
  <c r="G11" i="20"/>
  <c r="G18" i="20"/>
  <c r="D17" i="20"/>
  <c r="D31" i="20" s="1"/>
  <c r="D26" i="20"/>
  <c r="E26" i="20"/>
  <c r="F26" i="20"/>
  <c r="G29" i="20"/>
  <c r="D34" i="20"/>
  <c r="D50" i="20"/>
  <c r="E34" i="20"/>
  <c r="F34" i="20"/>
  <c r="G35" i="20"/>
  <c r="G36" i="20"/>
  <c r="G37" i="20"/>
  <c r="G38" i="20"/>
  <c r="G39" i="20"/>
  <c r="G40" i="20"/>
  <c r="D43" i="20"/>
  <c r="E43" i="20"/>
  <c r="F43" i="20"/>
  <c r="G44" i="20"/>
  <c r="D51" i="20"/>
  <c r="E51" i="20"/>
  <c r="F51" i="20"/>
  <c r="D8" i="21"/>
  <c r="E8" i="21"/>
  <c r="F8" i="21"/>
  <c r="G11" i="21"/>
  <c r="D17" i="21"/>
  <c r="E17" i="21"/>
  <c r="F17" i="21"/>
  <c r="G18" i="21"/>
  <c r="G21" i="21"/>
  <c r="D24" i="21"/>
  <c r="E24" i="21"/>
  <c r="F24" i="21"/>
  <c r="G27" i="21"/>
  <c r="D32" i="21"/>
  <c r="E32" i="21"/>
  <c r="F32" i="21"/>
  <c r="G33" i="21"/>
  <c r="G34" i="21"/>
  <c r="G35" i="21"/>
  <c r="D38" i="21"/>
  <c r="E38" i="21"/>
  <c r="F38" i="21"/>
  <c r="G39" i="21"/>
  <c r="D8" i="22"/>
  <c r="E8" i="22"/>
  <c r="F8" i="22"/>
  <c r="G11" i="22"/>
  <c r="D17" i="22"/>
  <c r="E17" i="22"/>
  <c r="F17" i="22"/>
  <c r="G18" i="22"/>
  <c r="G21" i="22"/>
  <c r="D24" i="22"/>
  <c r="E24" i="22"/>
  <c r="F24" i="22"/>
  <c r="G27" i="22"/>
  <c r="D32" i="22"/>
  <c r="E32" i="22"/>
  <c r="F32" i="22"/>
  <c r="G33" i="22"/>
  <c r="G34" i="22"/>
  <c r="G35" i="22"/>
  <c r="D38" i="22"/>
  <c r="E38" i="22"/>
  <c r="F38" i="22"/>
  <c r="G39" i="22"/>
  <c r="D8" i="23"/>
  <c r="E8" i="23"/>
  <c r="F8" i="23"/>
  <c r="G10" i="23"/>
  <c r="D17" i="23"/>
  <c r="E17" i="23"/>
  <c r="F17" i="23"/>
  <c r="G18" i="23"/>
  <c r="G27" i="23"/>
  <c r="D32" i="23"/>
  <c r="E32" i="23"/>
  <c r="F32" i="23"/>
  <c r="G33" i="23"/>
  <c r="G34" i="23"/>
  <c r="G35" i="23"/>
  <c r="D38" i="23"/>
  <c r="E38" i="23"/>
  <c r="F38" i="23"/>
  <c r="D8" i="24"/>
  <c r="D30" i="24" s="1"/>
  <c r="E8" i="24"/>
  <c r="F8" i="24"/>
  <c r="D25" i="24"/>
  <c r="E25" i="24"/>
  <c r="F25" i="24"/>
  <c r="D33" i="24"/>
  <c r="D49" i="24" s="1"/>
  <c r="E33" i="24"/>
  <c r="F33" i="24"/>
  <c r="D42" i="24"/>
  <c r="E42" i="24"/>
  <c r="F42" i="24"/>
  <c r="D50" i="24"/>
  <c r="E50" i="24"/>
  <c r="F50" i="24"/>
  <c r="D8" i="25"/>
  <c r="E8" i="25"/>
  <c r="F8" i="25"/>
  <c r="E17" i="25"/>
  <c r="F17" i="25"/>
  <c r="D17" i="25"/>
  <c r="D33" i="25"/>
  <c r="E33" i="25"/>
  <c r="F33" i="25"/>
  <c r="D42" i="25"/>
  <c r="E42" i="25"/>
  <c r="F42" i="25"/>
  <c r="D50" i="25"/>
  <c r="E50" i="25"/>
  <c r="F50" i="25"/>
  <c r="D8" i="26"/>
  <c r="E8" i="26"/>
  <c r="F8" i="26"/>
  <c r="D17" i="26"/>
  <c r="E17" i="26"/>
  <c r="F17" i="26"/>
  <c r="D24" i="26"/>
  <c r="E24" i="26"/>
  <c r="F24" i="26"/>
  <c r="D32" i="26"/>
  <c r="E32" i="26"/>
  <c r="E45" i="26" s="1"/>
  <c r="F32" i="26"/>
  <c r="F45" i="26" s="1"/>
  <c r="D45" i="26"/>
  <c r="F129" i="7"/>
  <c r="E2" i="40"/>
  <c r="F2" i="40"/>
  <c r="F4" i="40"/>
  <c r="G4" i="40"/>
  <c r="G3" i="40" s="1"/>
  <c r="G2" i="40" s="1"/>
  <c r="H4" i="40"/>
  <c r="H3" i="40" s="1"/>
  <c r="H2" i="40" s="1"/>
  <c r="H110" i="40" s="1"/>
  <c r="I4" i="40"/>
  <c r="I3" i="40" s="1"/>
  <c r="I2" i="40" s="1"/>
  <c r="J4" i="40"/>
  <c r="J3" i="40" s="1"/>
  <c r="J2" i="40" s="1"/>
  <c r="F9" i="40"/>
  <c r="G11" i="40"/>
  <c r="G10" i="40"/>
  <c r="G9" i="40" s="1"/>
  <c r="H11" i="40"/>
  <c r="H10" i="40" s="1"/>
  <c r="H9" i="40" s="1"/>
  <c r="I30" i="40"/>
  <c r="J30" i="40"/>
  <c r="E37" i="40"/>
  <c r="E28" i="40" s="1"/>
  <c r="F37" i="40"/>
  <c r="F28" i="40" s="1"/>
  <c r="G37" i="40"/>
  <c r="G28" i="40" s="1"/>
  <c r="H37" i="40"/>
  <c r="H28" i="40" s="1"/>
  <c r="I37" i="40"/>
  <c r="E46" i="40"/>
  <c r="F46" i="40"/>
  <c r="G55" i="40"/>
  <c r="H55" i="40"/>
  <c r="I55" i="40"/>
  <c r="H60" i="40"/>
  <c r="G60" i="40"/>
  <c r="G46" i="40" s="1"/>
  <c r="J46" i="40"/>
  <c r="I71" i="40"/>
  <c r="E3" i="41"/>
  <c r="E2" i="41" s="1"/>
  <c r="F3" i="41"/>
  <c r="F2" i="41" s="1"/>
  <c r="G7" i="41"/>
  <c r="G3" i="41" s="1"/>
  <c r="G2" i="41" s="1"/>
  <c r="E14" i="41"/>
  <c r="F14" i="41"/>
  <c r="G14" i="41"/>
  <c r="G6" i="42"/>
  <c r="G7" i="42"/>
  <c r="G8" i="42"/>
  <c r="G9" i="42"/>
  <c r="G10" i="42"/>
  <c r="G11" i="42"/>
  <c r="C12" i="42"/>
  <c r="D12" i="42"/>
  <c r="E12" i="42"/>
  <c r="F12" i="42"/>
  <c r="C12" i="43"/>
  <c r="C8" i="44"/>
  <c r="R90" i="37"/>
  <c r="D10" i="36" s="1"/>
  <c r="F45" i="23"/>
  <c r="F50" i="20"/>
  <c r="F29" i="19"/>
  <c r="T110" i="37"/>
  <c r="J111" i="37"/>
  <c r="J116" i="37" s="1"/>
  <c r="N94" i="37"/>
  <c r="H111" i="37"/>
  <c r="H116" i="37" s="1"/>
  <c r="E35" i="36"/>
  <c r="S110" i="37"/>
  <c r="D46" i="1"/>
  <c r="F29" i="4"/>
  <c r="E35" i="1" s="1"/>
  <c r="F19" i="17"/>
  <c r="D21" i="17"/>
  <c r="F25" i="36"/>
  <c r="F24" i="36" s="1"/>
  <c r="F22" i="36"/>
  <c r="E19" i="36"/>
  <c r="E28" i="17" s="1"/>
  <c r="G168" i="35"/>
  <c r="G153" i="35"/>
  <c r="H153" i="35" s="1"/>
  <c r="G147" i="35"/>
  <c r="G136" i="35"/>
  <c r="H136" i="35" s="1"/>
  <c r="G123" i="35"/>
  <c r="H123" i="35" s="1"/>
  <c r="G107" i="35"/>
  <c r="H107" i="35" s="1"/>
  <c r="F15" i="35"/>
  <c r="F14" i="35" s="1"/>
  <c r="F35" i="35" s="1"/>
  <c r="D18" i="34"/>
  <c r="D17" i="34" s="1"/>
  <c r="D30" i="34" s="1"/>
  <c r="G56" i="33"/>
  <c r="E56" i="33"/>
  <c r="G55" i="33"/>
  <c r="G74" i="33" s="1"/>
  <c r="G8" i="33"/>
  <c r="E8" i="33"/>
  <c r="E7" i="33" s="1"/>
  <c r="E25" i="33" s="1"/>
  <c r="E39" i="32"/>
  <c r="F47" i="16"/>
  <c r="F30" i="15"/>
  <c r="F47" i="14"/>
  <c r="F30" i="13"/>
  <c r="F46" i="12"/>
  <c r="F30" i="11"/>
  <c r="F46" i="10"/>
  <c r="G42" i="8"/>
  <c r="G40" i="8"/>
  <c r="G34" i="8"/>
  <c r="F25" i="4"/>
  <c r="E22" i="1" s="1"/>
  <c r="D25" i="4"/>
  <c r="C22" i="1" s="1"/>
  <c r="F22" i="4"/>
  <c r="E19" i="1" s="1"/>
  <c r="D22" i="4"/>
  <c r="C19" i="1" s="1"/>
  <c r="E28" i="60" s="1"/>
  <c r="F21" i="4"/>
  <c r="E18" i="1" s="1"/>
  <c r="D21" i="4"/>
  <c r="C18" i="1" s="1"/>
  <c r="E27" i="60" s="1"/>
  <c r="F18" i="4"/>
  <c r="E15" i="1" s="1"/>
  <c r="D18" i="4"/>
  <c r="C15" i="1" s="1"/>
  <c r="D8" i="8"/>
  <c r="H212" i="7"/>
  <c r="H211" i="7"/>
  <c r="H152" i="7"/>
  <c r="G146" i="7"/>
  <c r="H106" i="7"/>
  <c r="H47" i="7"/>
  <c r="G28" i="7"/>
  <c r="G98" i="6"/>
  <c r="G94" i="6"/>
  <c r="F62" i="5" s="1"/>
  <c r="F71" i="4" s="1"/>
  <c r="H72" i="6"/>
  <c r="G47" i="6"/>
  <c r="E47" i="6"/>
  <c r="F124" i="4"/>
  <c r="D124" i="4"/>
  <c r="E123" i="4"/>
  <c r="E23" i="4"/>
  <c r="D20" i="1" s="1"/>
  <c r="T94" i="37"/>
  <c r="R94" i="37"/>
  <c r="E25" i="36"/>
  <c r="E24" i="36" s="1"/>
  <c r="E22" i="36"/>
  <c r="H122" i="35"/>
  <c r="F49" i="35"/>
  <c r="G98" i="33"/>
  <c r="H86" i="33"/>
  <c r="H76" i="33"/>
  <c r="F56" i="33"/>
  <c r="H19" i="33"/>
  <c r="H9" i="33"/>
  <c r="G40" i="32"/>
  <c r="F39" i="32"/>
  <c r="G39" i="32" s="1"/>
  <c r="F45" i="30"/>
  <c r="F45" i="29"/>
  <c r="F45" i="28"/>
  <c r="F45" i="27"/>
  <c r="F50" i="18"/>
  <c r="D17" i="18"/>
  <c r="D31" i="18" s="1"/>
  <c r="F38" i="8"/>
  <c r="D83" i="4"/>
  <c r="C85" i="1" s="1"/>
  <c r="E17" i="8"/>
  <c r="E25" i="4"/>
  <c r="D22" i="1" s="1"/>
  <c r="E22" i="4"/>
  <c r="D19" i="1" s="1"/>
  <c r="E21" i="4"/>
  <c r="D18" i="1" s="1"/>
  <c r="E18" i="4"/>
  <c r="D15" i="1" s="1"/>
  <c r="E8" i="8"/>
  <c r="H134" i="7"/>
  <c r="G112" i="7"/>
  <c r="G115" i="7" s="1"/>
  <c r="F29" i="7"/>
  <c r="F28" i="7"/>
  <c r="F98" i="6"/>
  <c r="F47" i="6"/>
  <c r="E124" i="4"/>
  <c r="F123" i="4"/>
  <c r="D24" i="4"/>
  <c r="C21" i="1" s="1"/>
  <c r="D23" i="4"/>
  <c r="C20" i="1" s="1"/>
  <c r="E29" i="60" s="1"/>
  <c r="D48" i="4"/>
  <c r="C8" i="3" s="1"/>
  <c r="F34" i="4"/>
  <c r="E40" i="1" s="1"/>
  <c r="D31" i="4"/>
  <c r="C37" i="1" s="1"/>
  <c r="F57" i="4"/>
  <c r="E27" i="1" s="1"/>
  <c r="F55" i="4"/>
  <c r="D55" i="4"/>
  <c r="C25" i="1" s="1"/>
  <c r="E12" i="1"/>
  <c r="E9" i="4"/>
  <c r="D6" i="1" s="1"/>
  <c r="G56" i="5"/>
  <c r="G9" i="5"/>
  <c r="G7" i="33"/>
  <c r="G25" i="33" s="1"/>
  <c r="H147" i="35"/>
  <c r="G172" i="35"/>
  <c r="E88" i="1"/>
  <c r="D23" i="1"/>
  <c r="E23" i="1"/>
  <c r="F97" i="4"/>
  <c r="I11" i="2" s="1"/>
  <c r="D69" i="4"/>
  <c r="C17" i="3" s="1"/>
  <c r="G96" i="5"/>
  <c r="F29" i="23"/>
  <c r="E45" i="21"/>
  <c r="E29" i="21"/>
  <c r="F17" i="20"/>
  <c r="J165" i="37"/>
  <c r="F49" i="24"/>
  <c r="G118" i="35"/>
  <c r="H118" i="35" s="1"/>
  <c r="G36" i="34"/>
  <c r="G24" i="28"/>
  <c r="F30" i="10"/>
  <c r="G30" i="10" s="1"/>
  <c r="H43" i="35"/>
  <c r="F49" i="33"/>
  <c r="F29" i="30"/>
  <c r="F29" i="29"/>
  <c r="F46" i="15"/>
  <c r="G46" i="15" s="1"/>
  <c r="F46" i="11"/>
  <c r="E46" i="9"/>
  <c r="H14" i="33"/>
  <c r="E214" i="7"/>
  <c r="H121" i="6"/>
  <c r="D11" i="5"/>
  <c r="D8" i="5" s="1"/>
  <c r="G88" i="7"/>
  <c r="F138" i="6"/>
  <c r="E63" i="5"/>
  <c r="H133" i="6"/>
  <c r="G52" i="5"/>
  <c r="G39" i="5"/>
  <c r="F17" i="8"/>
  <c r="E25" i="8"/>
  <c r="F214" i="7"/>
  <c r="H18" i="7"/>
  <c r="E30" i="10"/>
  <c r="E93" i="1"/>
  <c r="E25" i="1"/>
  <c r="E91" i="1"/>
  <c r="G98" i="5"/>
  <c r="C51" i="1"/>
  <c r="E46" i="1"/>
  <c r="G14" i="17"/>
  <c r="G16" i="17"/>
  <c r="G11" i="17"/>
  <c r="G51" i="17"/>
  <c r="G25" i="17"/>
  <c r="D62" i="17"/>
  <c r="G13" i="17"/>
  <c r="G49" i="17"/>
  <c r="E62" i="17"/>
  <c r="F62" i="17"/>
  <c r="E45" i="19"/>
  <c r="G32" i="19"/>
  <c r="E45" i="23"/>
  <c r="G45" i="23" s="1"/>
  <c r="F28" i="32"/>
  <c r="E29" i="29"/>
  <c r="E29" i="27"/>
  <c r="F98" i="33"/>
  <c r="H98" i="33" s="1"/>
  <c r="H62" i="33"/>
  <c r="D18" i="32"/>
  <c r="D17" i="32" s="1"/>
  <c r="D30" i="32" s="1"/>
  <c r="F29" i="31"/>
  <c r="E45" i="30"/>
  <c r="G45" i="30" s="1"/>
  <c r="G32" i="29"/>
  <c r="G49" i="33"/>
  <c r="H203" i="7"/>
  <c r="G49" i="35"/>
  <c r="E46" i="12"/>
  <c r="F50" i="5"/>
  <c r="F59" i="5"/>
  <c r="G42" i="5"/>
  <c r="G21" i="7"/>
  <c r="F78" i="5" s="1"/>
  <c r="E29" i="23"/>
  <c r="E45" i="22"/>
  <c r="D33" i="36"/>
  <c r="E47" i="16"/>
  <c r="E30" i="11"/>
  <c r="G30" i="11"/>
  <c r="M91" i="37"/>
  <c r="G17" i="16"/>
  <c r="F30" i="14"/>
  <c r="F41" i="8"/>
  <c r="D33" i="8"/>
  <c r="F62" i="4"/>
  <c r="E32" i="1" s="1"/>
  <c r="D76" i="1"/>
  <c r="E13" i="7"/>
  <c r="G138" i="6"/>
  <c r="F63" i="5" s="1"/>
  <c r="C60" i="1"/>
  <c r="C144" i="1" s="1"/>
  <c r="H49" i="6"/>
  <c r="D17" i="8"/>
  <c r="F40" i="17"/>
  <c r="F17" i="18"/>
  <c r="H98" i="6"/>
  <c r="I28" i="40"/>
  <c r="E49" i="25"/>
  <c r="J73" i="37"/>
  <c r="E45" i="28"/>
  <c r="G45" i="28"/>
  <c r="G17" i="14"/>
  <c r="G33" i="12"/>
  <c r="T90" i="37"/>
  <c r="G17" i="12"/>
  <c r="F30" i="12"/>
  <c r="E46" i="11"/>
  <c r="H90" i="7"/>
  <c r="H30" i="6"/>
  <c r="F21" i="7"/>
  <c r="E78" i="5" s="1"/>
  <c r="G214" i="7"/>
  <c r="F10" i="36"/>
  <c r="F8" i="36" s="1"/>
  <c r="H88" i="6"/>
  <c r="F36" i="5"/>
  <c r="F35" i="5" s="1"/>
  <c r="G27" i="5"/>
  <c r="F29" i="6"/>
  <c r="D12" i="43"/>
  <c r="H183" i="7"/>
  <c r="H178" i="7"/>
  <c r="H213" i="7"/>
  <c r="H161" i="7"/>
  <c r="H139" i="7"/>
  <c r="H33" i="7"/>
  <c r="E41" i="8"/>
  <c r="E38" i="8"/>
  <c r="G38" i="8" s="1"/>
  <c r="G37" i="8"/>
  <c r="G33" i="10"/>
  <c r="G17" i="10"/>
  <c r="G33" i="13"/>
  <c r="G33" i="15"/>
  <c r="G34" i="16"/>
  <c r="G51" i="18"/>
  <c r="G34" i="18"/>
  <c r="G8" i="18"/>
  <c r="F45" i="19"/>
  <c r="G45" i="19" s="1"/>
  <c r="G43" i="20"/>
  <c r="E50" i="20"/>
  <c r="G34" i="20"/>
  <c r="G19" i="20"/>
  <c r="E17" i="20"/>
  <c r="G51" i="20"/>
  <c r="G32" i="21"/>
  <c r="G17" i="21"/>
  <c r="G38" i="22"/>
  <c r="G32" i="22"/>
  <c r="G17" i="22"/>
  <c r="G32" i="23"/>
  <c r="G8" i="23"/>
  <c r="E49" i="24"/>
  <c r="G49" i="24" s="1"/>
  <c r="G33" i="24"/>
  <c r="G47" i="17"/>
  <c r="G33" i="25"/>
  <c r="G32" i="26"/>
  <c r="G17" i="26"/>
  <c r="G17" i="27"/>
  <c r="G32" i="28"/>
  <c r="E29" i="28"/>
  <c r="F29" i="28"/>
  <c r="G8" i="28"/>
  <c r="G32" i="30"/>
  <c r="G8" i="30"/>
  <c r="G32" i="31"/>
  <c r="G8" i="34"/>
  <c r="F33" i="32"/>
  <c r="F46" i="32" s="1"/>
  <c r="G35" i="32"/>
  <c r="G34" i="32"/>
  <c r="G28" i="32"/>
  <c r="E50" i="17"/>
  <c r="G36" i="32"/>
  <c r="F55" i="33"/>
  <c r="F74" i="33" s="1"/>
  <c r="H42" i="33"/>
  <c r="E33" i="32"/>
  <c r="E46" i="32" s="1"/>
  <c r="G38" i="32"/>
  <c r="E53" i="17"/>
  <c r="F8" i="33"/>
  <c r="F7" i="33" s="1"/>
  <c r="H180" i="35"/>
  <c r="F161" i="35"/>
  <c r="F135" i="35"/>
  <c r="F134" i="35" s="1"/>
  <c r="F128" i="35"/>
  <c r="H101" i="35"/>
  <c r="G35" i="34"/>
  <c r="H37" i="35"/>
  <c r="E33" i="34"/>
  <c r="E46" i="34" s="1"/>
  <c r="G34" i="34"/>
  <c r="H27" i="35"/>
  <c r="H22" i="35"/>
  <c r="E18" i="34"/>
  <c r="J28" i="40"/>
  <c r="E31" i="20"/>
  <c r="E72" i="4"/>
  <c r="G110" i="35"/>
  <c r="H110" i="35"/>
  <c r="H30" i="35"/>
  <c r="E15" i="35"/>
  <c r="E14" i="35" s="1"/>
  <c r="E35" i="35" s="1"/>
  <c r="E62" i="4"/>
  <c r="D32" i="1" s="1"/>
  <c r="E57" i="4"/>
  <c r="G57" i="4" s="1"/>
  <c r="G129" i="7"/>
  <c r="F85" i="5" s="1"/>
  <c r="E85" i="5"/>
  <c r="G36" i="9"/>
  <c r="G35" i="8"/>
  <c r="F33" i="8"/>
  <c r="F48" i="8" s="1"/>
  <c r="F33" i="9"/>
  <c r="F46" i="9" s="1"/>
  <c r="G46" i="9" s="1"/>
  <c r="E47" i="14"/>
  <c r="G47" i="14" s="1"/>
  <c r="G46" i="12"/>
  <c r="G47" i="16"/>
  <c r="G46" i="11"/>
  <c r="G33" i="11"/>
  <c r="F130" i="7"/>
  <c r="E84" i="5" s="1"/>
  <c r="G32" i="7"/>
  <c r="F77" i="5" s="1"/>
  <c r="H46" i="7"/>
  <c r="H21" i="7"/>
  <c r="F100" i="5"/>
  <c r="F97" i="5" s="1"/>
  <c r="H23" i="7"/>
  <c r="H88" i="7"/>
  <c r="F32" i="7"/>
  <c r="E77" i="5" s="1"/>
  <c r="H14" i="7"/>
  <c r="G13" i="7"/>
  <c r="F71" i="5" s="1"/>
  <c r="H126" i="6"/>
  <c r="H201" i="7"/>
  <c r="H214" i="7"/>
  <c r="G36" i="8"/>
  <c r="G33" i="9"/>
  <c r="F8" i="8"/>
  <c r="F30" i="8" s="1"/>
  <c r="F8" i="9"/>
  <c r="F30" i="9" s="1"/>
  <c r="G39" i="8"/>
  <c r="F98" i="4"/>
  <c r="E112" i="1" s="1"/>
  <c r="H140" i="35"/>
  <c r="G135" i="35"/>
  <c r="G134" i="35" s="1"/>
  <c r="G116" i="35"/>
  <c r="G100" i="35"/>
  <c r="H169" i="35"/>
  <c r="H156" i="35"/>
  <c r="G38" i="34"/>
  <c r="F33" i="34"/>
  <c r="F46" i="34" s="1"/>
  <c r="G46" i="34" s="1"/>
  <c r="F53" i="17"/>
  <c r="G53" i="17" s="1"/>
  <c r="H124" i="35"/>
  <c r="H49" i="35"/>
  <c r="H8" i="33"/>
  <c r="H55" i="33"/>
  <c r="H56" i="33"/>
  <c r="H70" i="33"/>
  <c r="H81" i="33"/>
  <c r="H37" i="33"/>
  <c r="H32" i="33"/>
  <c r="H27" i="33"/>
  <c r="H49" i="33"/>
  <c r="G17" i="31"/>
  <c r="G8" i="31"/>
  <c r="G17" i="30"/>
  <c r="G17" i="29"/>
  <c r="E45" i="29"/>
  <c r="G45" i="29" s="1"/>
  <c r="G8" i="29"/>
  <c r="G29" i="29"/>
  <c r="G29" i="28"/>
  <c r="G32" i="27"/>
  <c r="G17" i="25"/>
  <c r="F30" i="25"/>
  <c r="G50" i="25"/>
  <c r="G42" i="24"/>
  <c r="F21" i="17"/>
  <c r="F30" i="24"/>
  <c r="G50" i="24"/>
  <c r="G17" i="23"/>
  <c r="G29" i="23"/>
  <c r="F45" i="22"/>
  <c r="G45" i="22" s="1"/>
  <c r="E29" i="22"/>
  <c r="F29" i="22"/>
  <c r="G8" i="21"/>
  <c r="G17" i="19"/>
  <c r="F31" i="18"/>
  <c r="E17" i="18"/>
  <c r="E21" i="17"/>
  <c r="G19" i="18"/>
  <c r="G50" i="20"/>
  <c r="G17" i="9"/>
  <c r="E30" i="9"/>
  <c r="G18" i="8"/>
  <c r="F24" i="4"/>
  <c r="E21" i="1" s="1"/>
  <c r="E24" i="4"/>
  <c r="D21" i="1" s="1"/>
  <c r="H37" i="6"/>
  <c r="G29" i="6"/>
  <c r="H29" i="6"/>
  <c r="F11" i="5"/>
  <c r="F11" i="4" s="1"/>
  <c r="G7" i="6"/>
  <c r="E8" i="5"/>
  <c r="E11" i="4"/>
  <c r="D8" i="1" s="1"/>
  <c r="G16" i="6"/>
  <c r="G15" i="6" s="1"/>
  <c r="H17" i="6"/>
  <c r="G22" i="5"/>
  <c r="F23" i="4"/>
  <c r="G23" i="4" s="1"/>
  <c r="H26" i="6"/>
  <c r="G29" i="5"/>
  <c r="H58" i="6"/>
  <c r="D27" i="1"/>
  <c r="F56" i="4"/>
  <c r="E26" i="1" s="1"/>
  <c r="F26" i="5"/>
  <c r="H47" i="6"/>
  <c r="H116" i="6"/>
  <c r="G23" i="5"/>
  <c r="H135" i="35"/>
  <c r="H116" i="35"/>
  <c r="G128" i="35"/>
  <c r="H128" i="35" s="1"/>
  <c r="E30" i="24"/>
  <c r="G17" i="18"/>
  <c r="E31" i="18"/>
  <c r="G31" i="18" s="1"/>
  <c r="J11" i="37"/>
  <c r="D20" i="17"/>
  <c r="E27" i="7" s="1"/>
  <c r="G25" i="4"/>
  <c r="G22" i="4"/>
  <c r="H9" i="6"/>
  <c r="J19" i="37"/>
  <c r="D46" i="17"/>
  <c r="D78" i="4" s="1"/>
  <c r="G21" i="4"/>
  <c r="G26" i="7"/>
  <c r="G24" i="4"/>
  <c r="G62" i="17"/>
  <c r="F35" i="4"/>
  <c r="G25" i="36"/>
  <c r="R110" i="37"/>
  <c r="F10" i="17"/>
  <c r="F8" i="17" s="1"/>
  <c r="G22" i="36"/>
  <c r="E20" i="17"/>
  <c r="E65" i="4" s="1"/>
  <c r="F54" i="4"/>
  <c r="E9" i="2" s="1"/>
  <c r="F94" i="4"/>
  <c r="E111" i="1" s="1"/>
  <c r="F22" i="32"/>
  <c r="F18" i="17"/>
  <c r="G17" i="20"/>
  <c r="F31" i="20"/>
  <c r="G31" i="20" s="1"/>
  <c r="G130" i="7"/>
  <c r="H130" i="7" s="1"/>
  <c r="H129" i="7"/>
  <c r="D11" i="4"/>
  <c r="C8" i="1" s="1"/>
  <c r="G161" i="35"/>
  <c r="H161" i="35" s="1"/>
  <c r="G11" i="5"/>
  <c r="G17" i="24"/>
  <c r="G33" i="34"/>
  <c r="E29" i="30"/>
  <c r="G29" i="30" s="1"/>
  <c r="E17" i="32"/>
  <c r="F31" i="4"/>
  <c r="E37" i="1" s="1"/>
  <c r="F145" i="7"/>
  <c r="J79" i="37"/>
  <c r="T93" i="37"/>
  <c r="T101" i="37" s="1"/>
  <c r="S94" i="37"/>
  <c r="F17" i="36"/>
  <c r="E120" i="4"/>
  <c r="D133" i="1" s="1"/>
  <c r="E98" i="33"/>
  <c r="E55" i="33"/>
  <c r="E74" i="33" s="1"/>
  <c r="F18" i="32"/>
  <c r="E49" i="33"/>
  <c r="E161" i="35"/>
  <c r="E128" i="35"/>
  <c r="F27" i="7"/>
  <c r="G15" i="35"/>
  <c r="G14" i="35" s="1"/>
  <c r="F18" i="34"/>
  <c r="G18" i="34" s="1"/>
  <c r="H16" i="35"/>
  <c r="E46" i="17"/>
  <c r="E45" i="17" s="1"/>
  <c r="E10" i="36"/>
  <c r="F55" i="17"/>
  <c r="G39" i="36"/>
  <c r="F38" i="36"/>
  <c r="F56" i="17"/>
  <c r="E48" i="17"/>
  <c r="E32" i="36"/>
  <c r="F37" i="17"/>
  <c r="F68" i="4"/>
  <c r="E17" i="2" s="1"/>
  <c r="G38" i="17"/>
  <c r="J59" i="37"/>
  <c r="E55" i="17"/>
  <c r="G55" i="17" s="1"/>
  <c r="G34" i="36"/>
  <c r="F48" i="17"/>
  <c r="G48" i="17" s="1"/>
  <c r="E37" i="17"/>
  <c r="J98" i="37"/>
  <c r="E30" i="32"/>
  <c r="G47" i="5"/>
  <c r="G22" i="32"/>
  <c r="G18" i="32"/>
  <c r="F17" i="32"/>
  <c r="G17" i="32" s="1"/>
  <c r="F20" i="17"/>
  <c r="G20" i="17" s="1"/>
  <c r="E58" i="1"/>
  <c r="F54" i="17"/>
  <c r="E8" i="36"/>
  <c r="G8" i="36" s="1"/>
  <c r="G10" i="36"/>
  <c r="E10" i="17"/>
  <c r="E8" i="17" s="1"/>
  <c r="F28" i="4"/>
  <c r="E34" i="1" s="1"/>
  <c r="F30" i="32"/>
  <c r="G30" i="32" s="1"/>
  <c r="G30" i="24"/>
  <c r="E29" i="6"/>
  <c r="F69" i="4"/>
  <c r="E17" i="3" s="1"/>
  <c r="E69" i="4"/>
  <c r="D59" i="1" s="1"/>
  <c r="G60" i="5"/>
  <c r="F49" i="5"/>
  <c r="G59" i="5"/>
  <c r="E68" i="4"/>
  <c r="E67" i="4" s="1"/>
  <c r="G31" i="4"/>
  <c r="G62" i="4"/>
  <c r="F27" i="1"/>
  <c r="E88" i="4"/>
  <c r="D90" i="1" s="1"/>
  <c r="H32" i="7"/>
  <c r="F83" i="4"/>
  <c r="E85" i="1" s="1"/>
  <c r="G30" i="9"/>
  <c r="H28" i="7"/>
  <c r="G28" i="8"/>
  <c r="H29" i="7"/>
  <c r="G30" i="15"/>
  <c r="G17" i="8"/>
  <c r="G23" i="8"/>
  <c r="E30" i="8"/>
  <c r="D17" i="3"/>
  <c r="E83" i="4"/>
  <c r="D85" i="1" s="1"/>
  <c r="E73" i="5"/>
  <c r="G78" i="5"/>
  <c r="G69" i="5"/>
  <c r="H216" i="7"/>
  <c r="H188" i="7"/>
  <c r="F13" i="7"/>
  <c r="H13" i="7" s="1"/>
  <c r="G7" i="3"/>
  <c r="C98" i="1"/>
  <c r="E101" i="60" s="1"/>
  <c r="F157" i="7"/>
  <c r="E105" i="5"/>
  <c r="E103" i="5" s="1"/>
  <c r="E110" i="4"/>
  <c r="E92" i="5"/>
  <c r="E90" i="5" s="1"/>
  <c r="G77" i="5"/>
  <c r="F73" i="5"/>
  <c r="F88" i="4"/>
  <c r="F84" i="4" s="1"/>
  <c r="G157" i="7"/>
  <c r="F105" i="5"/>
  <c r="F103" i="5" s="1"/>
  <c r="H151" i="7"/>
  <c r="F110" i="4"/>
  <c r="F92" i="5"/>
  <c r="G93" i="5"/>
  <c r="F82" i="4"/>
  <c r="E83" i="1" s="1"/>
  <c r="G72" i="5"/>
  <c r="E71" i="5"/>
  <c r="G71" i="5" s="1"/>
  <c r="D105" i="5"/>
  <c r="D118" i="4" s="1"/>
  <c r="E157" i="7"/>
  <c r="F90" i="5"/>
  <c r="C97" i="1"/>
  <c r="E100" i="60" s="1"/>
  <c r="G6" i="3"/>
  <c r="D56" i="4"/>
  <c r="D54" i="4" s="1"/>
  <c r="C9" i="2" s="1"/>
  <c r="D26" i="5"/>
  <c r="F64" i="4"/>
  <c r="F63" i="4" s="1"/>
  <c r="E78" i="4"/>
  <c r="D80" i="1" s="1"/>
  <c r="E82" i="4"/>
  <c r="D83" i="1" s="1"/>
  <c r="D82" i="4"/>
  <c r="E15" i="4"/>
  <c r="D12" i="1" s="1"/>
  <c r="F29" i="36"/>
  <c r="D95" i="1"/>
  <c r="H12" i="2"/>
  <c r="D79" i="4"/>
  <c r="G7" i="2" s="1"/>
  <c r="E34" i="4"/>
  <c r="G34" i="4" s="1"/>
  <c r="I165" i="37"/>
  <c r="I59" i="37"/>
  <c r="D50" i="17"/>
  <c r="D32" i="36"/>
  <c r="D45" i="36" s="1"/>
  <c r="I19" i="37"/>
  <c r="E37" i="41"/>
  <c r="F37" i="41"/>
  <c r="E148" i="7" s="1"/>
  <c r="G37" i="41"/>
  <c r="F148" i="7" s="1"/>
  <c r="F146" i="7" s="1"/>
  <c r="H146" i="7" s="1"/>
  <c r="G10" i="17"/>
  <c r="C26" i="1"/>
  <c r="F8" i="5"/>
  <c r="D103" i="5"/>
  <c r="E32" i="7"/>
  <c r="E111" i="7" s="1"/>
  <c r="I135" i="37"/>
  <c r="D19" i="17"/>
  <c r="D17" i="36"/>
  <c r="D29" i="4"/>
  <c r="C35" i="1" s="1"/>
  <c r="E9" i="60" s="1"/>
  <c r="E145" i="35"/>
  <c r="K145" i="35" s="1"/>
  <c r="F145" i="35"/>
  <c r="G69" i="4"/>
  <c r="G27" i="7"/>
  <c r="F65" i="4"/>
  <c r="F30" i="17"/>
  <c r="D29" i="31"/>
  <c r="I27" i="31" s="1"/>
  <c r="D29" i="30"/>
  <c r="I27" i="30" s="1"/>
  <c r="D35" i="5"/>
  <c r="G31" i="17"/>
  <c r="E30" i="17"/>
  <c r="C23" i="1"/>
  <c r="D17" i="2"/>
  <c r="E59" i="1"/>
  <c r="F59" i="1" s="1"/>
  <c r="F67" i="4"/>
  <c r="E57" i="1" s="1"/>
  <c r="C59" i="1"/>
  <c r="D67" i="4"/>
  <c r="C57" i="1" s="1"/>
  <c r="D40" i="17"/>
  <c r="E26" i="7" s="1"/>
  <c r="G43" i="5"/>
  <c r="D36" i="4"/>
  <c r="C46" i="1"/>
  <c r="E43" i="60" s="1"/>
  <c r="E35" i="60" s="1"/>
  <c r="I9" i="2"/>
  <c r="C41" i="1"/>
  <c r="E66" i="4"/>
  <c r="G68" i="4"/>
  <c r="F17" i="34"/>
  <c r="G83" i="4"/>
  <c r="G145" i="7"/>
  <c r="H145" i="7" s="1"/>
  <c r="E42" i="4"/>
  <c r="G65" i="4"/>
  <c r="C80" i="1"/>
  <c r="E73" i="60" s="1"/>
  <c r="G6" i="2"/>
  <c r="H46" i="40"/>
  <c r="J110" i="40"/>
  <c r="F114" i="7" s="1"/>
  <c r="G110" i="40"/>
  <c r="G114" i="40"/>
  <c r="E110" i="40"/>
  <c r="F10" i="40"/>
  <c r="F110" i="40"/>
  <c r="F11" i="40"/>
  <c r="G82" i="4"/>
  <c r="G73" i="5"/>
  <c r="M29" i="20"/>
  <c r="E117" i="1"/>
  <c r="E115" i="1" s="1"/>
  <c r="I18" i="2"/>
  <c r="I27" i="2" s="1"/>
  <c r="H9" i="2"/>
  <c r="F95" i="4"/>
  <c r="I13" i="3" s="1"/>
  <c r="E110" i="1"/>
  <c r="I15" i="3"/>
  <c r="F108" i="4"/>
  <c r="F72" i="4"/>
  <c r="F61" i="5"/>
  <c r="G130" i="6"/>
  <c r="F55" i="5"/>
  <c r="H120" i="6"/>
  <c r="D50" i="4"/>
  <c r="C54" i="1" s="1"/>
  <c r="E47" i="60" s="1"/>
  <c r="D53" i="5"/>
  <c r="E49" i="5"/>
  <c r="G49" i="5" s="1"/>
  <c r="E46" i="4"/>
  <c r="E19" i="4"/>
  <c r="D16" i="1" s="1"/>
  <c r="F130" i="6"/>
  <c r="F134" i="6" s="1"/>
  <c r="F139" i="6" s="1"/>
  <c r="E55" i="5"/>
  <c r="D47" i="1"/>
  <c r="D53" i="1"/>
  <c r="D12" i="2"/>
  <c r="G12" i="5"/>
  <c r="G4" i="6"/>
  <c r="F19" i="5"/>
  <c r="F20" i="4" s="1"/>
  <c r="E17" i="1" s="1"/>
  <c r="D19" i="5"/>
  <c r="D20" i="4" s="1"/>
  <c r="E4" i="6"/>
  <c r="E85" i="6" s="1"/>
  <c r="E89" i="6" s="1"/>
  <c r="E63" i="1"/>
  <c r="E61" i="1" s="1"/>
  <c r="E20" i="2"/>
  <c r="E27" i="2" s="1"/>
  <c r="F70" i="4"/>
  <c r="G9" i="4"/>
  <c r="E6" i="1"/>
  <c r="G8" i="5"/>
  <c r="C49" i="1"/>
  <c r="C6" i="3"/>
  <c r="D45" i="4"/>
  <c r="D37" i="1"/>
  <c r="F30" i="34"/>
  <c r="I12" i="3"/>
  <c r="E53" i="5"/>
  <c r="D49" i="1"/>
  <c r="D6" i="3"/>
  <c r="F50" i="4"/>
  <c r="E13" i="3" s="1"/>
  <c r="G55" i="5"/>
  <c r="F53" i="5"/>
  <c r="G53" i="5" s="1"/>
  <c r="G145" i="35" l="1"/>
  <c r="H145" i="35" s="1"/>
  <c r="H134" i="35"/>
  <c r="E56" i="4"/>
  <c r="G28" i="5"/>
  <c r="E26" i="5"/>
  <c r="H114" i="7"/>
  <c r="F112" i="7"/>
  <c r="F115" i="7" s="1"/>
  <c r="E99" i="5"/>
  <c r="E97" i="4" s="1"/>
  <c r="F111" i="7"/>
  <c r="E70" i="5"/>
  <c r="E68" i="5" s="1"/>
  <c r="G70" i="6"/>
  <c r="H71" i="6"/>
  <c r="D45" i="1"/>
  <c r="E36" i="4"/>
  <c r="D41" i="1" s="1"/>
  <c r="I116" i="37"/>
  <c r="R93" i="37"/>
  <c r="R101" i="37" s="1"/>
  <c r="F32" i="36"/>
  <c r="G33" i="36"/>
  <c r="F46" i="17"/>
  <c r="G40" i="4"/>
  <c r="F36" i="4"/>
  <c r="E45" i="1"/>
  <c r="D10" i="17"/>
  <c r="D8" i="36"/>
  <c r="E24" i="1"/>
  <c r="E50" i="4"/>
  <c r="E49" i="4" s="1"/>
  <c r="D52" i="1" s="1"/>
  <c r="E27" i="17"/>
  <c r="H130" i="6"/>
  <c r="D80" i="4"/>
  <c r="F49" i="25"/>
  <c r="D45" i="23"/>
  <c r="H135" i="37"/>
  <c r="Q101" i="37"/>
  <c r="E29" i="31"/>
  <c r="F29" i="27"/>
  <c r="H190" i="7"/>
  <c r="I17" i="51"/>
  <c r="F94" i="6"/>
  <c r="E62" i="5" s="1"/>
  <c r="E7" i="68"/>
  <c r="E12" i="68" s="1"/>
  <c r="B22" i="68"/>
  <c r="E17" i="68"/>
  <c r="F45" i="36"/>
  <c r="G29" i="22"/>
  <c r="F29" i="21"/>
  <c r="G29" i="21" s="1"/>
  <c r="H142" i="35"/>
  <c r="D47" i="16"/>
  <c r="D30" i="15"/>
  <c r="I28" i="15" s="1"/>
  <c r="F70" i="5"/>
  <c r="D36" i="52"/>
  <c r="D33" i="60"/>
  <c r="G9" i="2"/>
  <c r="G32" i="36"/>
  <c r="G26" i="5"/>
  <c r="D29" i="26"/>
  <c r="I29" i="26" s="1"/>
  <c r="G8" i="22"/>
  <c r="G38" i="21"/>
  <c r="H150" i="35"/>
  <c r="E49" i="35"/>
  <c r="D46" i="32"/>
  <c r="I27" i="29"/>
  <c r="G38" i="27"/>
  <c r="I28" i="14"/>
  <c r="F46" i="13"/>
  <c r="G46" i="13" s="1"/>
  <c r="D30" i="13"/>
  <c r="D30" i="12"/>
  <c r="J28" i="12" s="1"/>
  <c r="C33" i="60"/>
  <c r="F6" i="1"/>
  <c r="E54" i="1"/>
  <c r="G134" i="6"/>
  <c r="G139" i="6" s="1"/>
  <c r="H139" i="6" s="1"/>
  <c r="D16" i="5"/>
  <c r="C30" i="70"/>
  <c r="D30" i="70" s="1"/>
  <c r="C12" i="3"/>
  <c r="D29" i="36"/>
  <c r="F118" i="4"/>
  <c r="G118" i="4" s="1"/>
  <c r="H15" i="35"/>
  <c r="E79" i="4"/>
  <c r="G21" i="17"/>
  <c r="G12" i="42"/>
  <c r="G17" i="15"/>
  <c r="G34" i="14"/>
  <c r="E98" i="6"/>
  <c r="F22" i="59"/>
  <c r="O14" i="67"/>
  <c r="O31" i="67" s="1"/>
  <c r="G31" i="67"/>
  <c r="K31" i="67"/>
  <c r="E30" i="25"/>
  <c r="G30" i="25" s="1"/>
  <c r="D30" i="25"/>
  <c r="D46" i="9"/>
  <c r="I28" i="9" s="1"/>
  <c r="G24" i="17"/>
  <c r="G113" i="4"/>
  <c r="I24" i="3"/>
  <c r="E108" i="4"/>
  <c r="D103" i="1" s="1"/>
  <c r="G109" i="4"/>
  <c r="H15" i="3"/>
  <c r="G99" i="4"/>
  <c r="E95" i="1"/>
  <c r="I12" i="2"/>
  <c r="D108" i="1"/>
  <c r="F108" i="1" s="1"/>
  <c r="H24" i="3"/>
  <c r="G12" i="4"/>
  <c r="E9" i="1"/>
  <c r="F9" i="1" s="1"/>
  <c r="D13" i="3"/>
  <c r="G30" i="17"/>
  <c r="D40" i="1"/>
  <c r="E118" i="4"/>
  <c r="D58" i="1"/>
  <c r="F58" i="1" s="1"/>
  <c r="G37" i="17"/>
  <c r="D123" i="4"/>
  <c r="D125" i="4" s="1"/>
  <c r="G108" i="4"/>
  <c r="E15" i="68"/>
  <c r="E22" i="68" s="1"/>
  <c r="C81" i="1"/>
  <c r="E74" i="60" s="1"/>
  <c r="C31" i="67"/>
  <c r="G97" i="4"/>
  <c r="D111" i="1"/>
  <c r="F111" i="1" s="1"/>
  <c r="H14" i="35"/>
  <c r="G35" i="35"/>
  <c r="H35" i="35" s="1"/>
  <c r="E86" i="1"/>
  <c r="H134" i="6"/>
  <c r="F49" i="4"/>
  <c r="D49" i="4"/>
  <c r="C32" i="70" s="1"/>
  <c r="D32" i="70" s="1"/>
  <c r="E103" i="1"/>
  <c r="F103" i="1" s="1"/>
  <c r="F116" i="7"/>
  <c r="F126" i="7" s="1"/>
  <c r="C48" i="1"/>
  <c r="E45" i="60"/>
  <c r="H148" i="7"/>
  <c r="E100" i="5"/>
  <c r="D45" i="17"/>
  <c r="D61" i="17" s="1"/>
  <c r="E90" i="1"/>
  <c r="H27" i="7"/>
  <c r="I164" i="37"/>
  <c r="C83" i="1"/>
  <c r="E76" i="60" s="1"/>
  <c r="G92" i="5"/>
  <c r="G46" i="32"/>
  <c r="F149" i="7"/>
  <c r="F150" i="7" s="1"/>
  <c r="F158" i="7" s="1"/>
  <c r="G88" i="4"/>
  <c r="H6" i="2"/>
  <c r="D77" i="5"/>
  <c r="F83" i="1"/>
  <c r="G110" i="4"/>
  <c r="H157" i="7"/>
  <c r="E84" i="4"/>
  <c r="D86" i="1" s="1"/>
  <c r="E20" i="1"/>
  <c r="F20" i="1" s="1"/>
  <c r="H7" i="6"/>
  <c r="F18" i="5"/>
  <c r="G105" i="5"/>
  <c r="K69" i="33"/>
  <c r="E7" i="60"/>
  <c r="G90" i="5"/>
  <c r="H100" i="35"/>
  <c r="G99" i="35"/>
  <c r="G114" i="35" s="1"/>
  <c r="G33" i="32"/>
  <c r="E33" i="8"/>
  <c r="F32" i="1"/>
  <c r="F29" i="26"/>
  <c r="D49" i="25"/>
  <c r="G8" i="20"/>
  <c r="G38" i="19"/>
  <c r="N110" i="37"/>
  <c r="F45" i="31"/>
  <c r="D45" i="30"/>
  <c r="D29" i="28"/>
  <c r="D46" i="13"/>
  <c r="D25" i="8"/>
  <c r="H215" i="7"/>
  <c r="D91" i="5"/>
  <c r="F58" i="5"/>
  <c r="E36" i="5"/>
  <c r="F17" i="51"/>
  <c r="K3" i="58"/>
  <c r="K146" i="58" s="1"/>
  <c r="E19" i="62"/>
  <c r="I15" i="62"/>
  <c r="D131" i="60"/>
  <c r="G49" i="25"/>
  <c r="G29" i="31"/>
  <c r="D45" i="27"/>
  <c r="D29" i="27"/>
  <c r="E30" i="16"/>
  <c r="E30" i="14"/>
  <c r="G30" i="14" s="1"/>
  <c r="E94" i="6"/>
  <c r="E95" i="6" s="1"/>
  <c r="G17" i="51"/>
  <c r="H18" i="51"/>
  <c r="D146" i="1"/>
  <c r="G25" i="5"/>
  <c r="F25" i="59"/>
  <c r="F21" i="1"/>
  <c r="G41" i="8"/>
  <c r="G30" i="13"/>
  <c r="F45" i="21"/>
  <c r="I46" i="40"/>
  <c r="I110" i="40" s="1"/>
  <c r="E114" i="7" s="1"/>
  <c r="E29" i="26"/>
  <c r="I28" i="25"/>
  <c r="D29" i="22"/>
  <c r="I32" i="22" s="1"/>
  <c r="D45" i="19"/>
  <c r="G135" i="37"/>
  <c r="E111" i="37"/>
  <c r="E116" i="37" s="1"/>
  <c r="P101" i="37"/>
  <c r="D45" i="31"/>
  <c r="G17" i="28"/>
  <c r="E50" i="18"/>
  <c r="G50" i="18" s="1"/>
  <c r="D30" i="16"/>
  <c r="D30" i="10"/>
  <c r="I28" i="10" s="1"/>
  <c r="F217" i="7"/>
  <c r="H217" i="7" s="1"/>
  <c r="G45" i="26"/>
  <c r="D29" i="23"/>
  <c r="D45" i="22"/>
  <c r="D45" i="21"/>
  <c r="D29" i="21"/>
  <c r="I27" i="21" s="1"/>
  <c r="I31" i="20"/>
  <c r="K20" i="20" s="1"/>
  <c r="G29" i="19"/>
  <c r="O101" i="37"/>
  <c r="D45" i="28"/>
  <c r="I29" i="28" s="1"/>
  <c r="G29" i="27"/>
  <c r="D50" i="18"/>
  <c r="E30" i="12"/>
  <c r="G30" i="12" s="1"/>
  <c r="G39" i="9"/>
  <c r="D90" i="5"/>
  <c r="D108" i="4" s="1"/>
  <c r="H138" i="35"/>
  <c r="E146" i="58"/>
  <c r="F15" i="59"/>
  <c r="F31" i="59"/>
  <c r="F28" i="59" s="1"/>
  <c r="I13" i="62"/>
  <c r="D69" i="60"/>
  <c r="C69" i="60"/>
  <c r="D19" i="62"/>
  <c r="I19" i="62" s="1"/>
  <c r="I7" i="62"/>
  <c r="I17" i="62"/>
  <c r="I5" i="62"/>
  <c r="D28" i="4"/>
  <c r="K19" i="33"/>
  <c r="K28" i="35"/>
  <c r="E145" i="1"/>
  <c r="E60" i="1"/>
  <c r="E144" i="1" s="1"/>
  <c r="E148" i="1"/>
  <c r="E149" i="7"/>
  <c r="D100" i="5"/>
  <c r="E146" i="7"/>
  <c r="F73" i="4"/>
  <c r="F53" i="4"/>
  <c r="H7" i="33"/>
  <c r="F25" i="33"/>
  <c r="H25" i="33" s="1"/>
  <c r="G35" i="36"/>
  <c r="F50" i="17"/>
  <c r="G19" i="36"/>
  <c r="F28" i="17"/>
  <c r="S93" i="37"/>
  <c r="S101" i="37" s="1"/>
  <c r="J38" i="37"/>
  <c r="J164" i="37" s="1"/>
  <c r="F172" i="35"/>
  <c r="H172" i="35" s="1"/>
  <c r="H168" i="35"/>
  <c r="F114" i="35"/>
  <c r="H114" i="35" s="1"/>
  <c r="H99" i="35"/>
  <c r="F23" i="17"/>
  <c r="G21" i="34"/>
  <c r="E145" i="7"/>
  <c r="D85" i="5"/>
  <c r="D83" i="5" s="1"/>
  <c r="D54" i="1"/>
  <c r="F54" i="1" s="1"/>
  <c r="G50" i="4"/>
  <c r="H112" i="7"/>
  <c r="I18" i="3"/>
  <c r="I27" i="3" s="1"/>
  <c r="G103" i="5"/>
  <c r="G30" i="8"/>
  <c r="H74" i="33"/>
  <c r="F42" i="4"/>
  <c r="F18" i="51"/>
  <c r="E56" i="17"/>
  <c r="G40" i="36"/>
  <c r="E38" i="36"/>
  <c r="G38" i="36" s="1"/>
  <c r="E40" i="17"/>
  <c r="G27" i="36"/>
  <c r="F25" i="7"/>
  <c r="E29" i="4"/>
  <c r="E19" i="17"/>
  <c r="E17" i="36"/>
  <c r="G17" i="36" s="1"/>
  <c r="G18" i="36"/>
  <c r="F32" i="17"/>
  <c r="G33" i="17"/>
  <c r="N93" i="37"/>
  <c r="N101" i="37" s="1"/>
  <c r="H19" i="37"/>
  <c r="H164" i="37" s="1"/>
  <c r="E17" i="34"/>
  <c r="E23" i="17"/>
  <c r="E33" i="4" s="1"/>
  <c r="D39" i="1" s="1"/>
  <c r="F15" i="6"/>
  <c r="H16" i="6"/>
  <c r="F85" i="1"/>
  <c r="F90" i="1"/>
  <c r="F80" i="4"/>
  <c r="G29" i="26"/>
  <c r="G45" i="31"/>
  <c r="G30" i="16"/>
  <c r="E130" i="6"/>
  <c r="E134" i="6" s="1"/>
  <c r="E139" i="6" s="1"/>
  <c r="E58" i="5"/>
  <c r="G58" i="5" s="1"/>
  <c r="G18" i="51"/>
  <c r="F37" i="1"/>
  <c r="G111" i="7"/>
  <c r="H111" i="7" s="1"/>
  <c r="J28" i="32"/>
  <c r="F19" i="1"/>
  <c r="E29" i="36"/>
  <c r="G29" i="36" s="1"/>
  <c r="D30" i="8"/>
  <c r="I28" i="34"/>
  <c r="I28" i="24"/>
  <c r="D41" i="8"/>
  <c r="D48" i="8" s="1"/>
  <c r="E45" i="36"/>
  <c r="G45" i="36" s="1"/>
  <c r="F40" i="1"/>
  <c r="F22" i="1"/>
  <c r="D17" i="17"/>
  <c r="D45" i="29"/>
  <c r="C24" i="1"/>
  <c r="E4" i="60" s="1"/>
  <c r="H89" i="58"/>
  <c r="H146" i="58" s="1"/>
  <c r="C17" i="1"/>
  <c r="E26" i="60" s="1"/>
  <c r="D116" i="4"/>
  <c r="G18" i="3"/>
  <c r="G27" i="3" s="1"/>
  <c r="C126" i="1"/>
  <c r="C124" i="1" s="1"/>
  <c r="D81" i="1"/>
  <c r="H7" i="2"/>
  <c r="G8" i="17"/>
  <c r="F42" i="17"/>
  <c r="G11" i="4"/>
  <c r="E8" i="1"/>
  <c r="F8" i="1" s="1"/>
  <c r="F8" i="4"/>
  <c r="E102" i="4"/>
  <c r="E83" i="5"/>
  <c r="F103" i="4"/>
  <c r="G85" i="5"/>
  <c r="D7" i="5"/>
  <c r="D57" i="5"/>
  <c r="D65" i="5" s="1"/>
  <c r="G32" i="17"/>
  <c r="F46" i="4"/>
  <c r="E13" i="1"/>
  <c r="G16" i="4"/>
  <c r="C103" i="1"/>
  <c r="G12" i="3"/>
  <c r="D55" i="1"/>
  <c r="D15" i="3"/>
  <c r="E51" i="1"/>
  <c r="E8" i="3"/>
  <c r="G48" i="4"/>
  <c r="C6" i="1"/>
  <c r="D8" i="4"/>
  <c r="G35" i="4"/>
  <c r="F219" i="7"/>
  <c r="F221" i="7" s="1"/>
  <c r="F18" i="1"/>
  <c r="G24" i="36"/>
  <c r="E24" i="7"/>
  <c r="D101" i="5" s="1"/>
  <c r="D114" i="4" s="1"/>
  <c r="C34" i="1"/>
  <c r="C33" i="1" s="1"/>
  <c r="D27" i="4"/>
  <c r="C82" i="1"/>
  <c r="E75" i="60" s="1"/>
  <c r="G8" i="2"/>
  <c r="D57" i="1"/>
  <c r="F57" i="1" s="1"/>
  <c r="G67" i="4"/>
  <c r="E109" i="1"/>
  <c r="G116" i="7"/>
  <c r="H115" i="7"/>
  <c r="F120" i="4"/>
  <c r="E133" i="1" s="1"/>
  <c r="E28" i="3"/>
  <c r="E76" i="1"/>
  <c r="G24" i="7"/>
  <c r="H25" i="7"/>
  <c r="D13" i="1"/>
  <c r="E8" i="4"/>
  <c r="G150" i="7"/>
  <c r="H149" i="7"/>
  <c r="G56" i="4"/>
  <c r="D26" i="1"/>
  <c r="F26" i="1" s="1"/>
  <c r="D110" i="1"/>
  <c r="D109" i="1" s="1"/>
  <c r="G96" i="4"/>
  <c r="H11" i="2"/>
  <c r="E15" i="3"/>
  <c r="E55" i="1"/>
  <c r="G51" i="4"/>
  <c r="C15" i="3"/>
  <c r="C55" i="1"/>
  <c r="E45" i="4"/>
  <c r="E44" i="4" s="1"/>
  <c r="D51" i="1"/>
  <c r="D48" i="1" s="1"/>
  <c r="D8" i="3"/>
  <c r="D16" i="3" s="1"/>
  <c r="G36" i="5"/>
  <c r="E35" i="5"/>
  <c r="D25" i="1"/>
  <c r="G55" i="4"/>
  <c r="E54" i="4"/>
  <c r="E5" i="1"/>
  <c r="D5" i="1"/>
  <c r="F84" i="5"/>
  <c r="I3" i="51"/>
  <c r="I7" i="51" s="1"/>
  <c r="I18" i="51" s="1"/>
  <c r="E80" i="4"/>
  <c r="E44" i="60" l="1"/>
  <c r="E49" i="60"/>
  <c r="E28" i="4"/>
  <c r="I28" i="8"/>
  <c r="F14" i="59"/>
  <c r="I29" i="27"/>
  <c r="E71" i="4"/>
  <c r="E70" i="4" s="1"/>
  <c r="E61" i="5"/>
  <c r="D8" i="17"/>
  <c r="D19" i="4"/>
  <c r="E126" i="1"/>
  <c r="E124" i="1" s="1"/>
  <c r="F116" i="4"/>
  <c r="I28" i="13"/>
  <c r="F79" i="4"/>
  <c r="G70" i="5"/>
  <c r="F68" i="5"/>
  <c r="G68" i="5" s="1"/>
  <c r="F78" i="4"/>
  <c r="G46" i="17"/>
  <c r="H70" i="6"/>
  <c r="G85" i="6"/>
  <c r="G89" i="6" s="1"/>
  <c r="G95" i="6" s="1"/>
  <c r="C8" i="2"/>
  <c r="C31" i="70"/>
  <c r="D31" i="70" s="1"/>
  <c r="D42" i="17"/>
  <c r="F55" i="1"/>
  <c r="H12" i="3"/>
  <c r="E41" i="1"/>
  <c r="E33" i="1" s="1"/>
  <c r="F27" i="4"/>
  <c r="E10" i="2" s="1"/>
  <c r="G36" i="4"/>
  <c r="C29" i="70"/>
  <c r="D29" i="70" s="1"/>
  <c r="C10" i="2"/>
  <c r="D119" i="4"/>
  <c r="H18" i="3"/>
  <c r="H27" i="3" s="1"/>
  <c r="E116" i="4"/>
  <c r="G116" i="4" s="1"/>
  <c r="D126" i="1"/>
  <c r="I75" i="4"/>
  <c r="C5" i="1"/>
  <c r="E16" i="60"/>
  <c r="E15" i="60" s="1"/>
  <c r="C96" i="1"/>
  <c r="E102" i="60"/>
  <c r="D82" i="5"/>
  <c r="D97" i="4"/>
  <c r="E112" i="7"/>
  <c r="E115" i="7" s="1"/>
  <c r="E116" i="7" s="1"/>
  <c r="E126" i="7" s="1"/>
  <c r="F19" i="4"/>
  <c r="G18" i="5"/>
  <c r="F16" i="5"/>
  <c r="C13" i="3"/>
  <c r="C52" i="1"/>
  <c r="G84" i="4"/>
  <c r="E141" i="6"/>
  <c r="E143" i="6" s="1"/>
  <c r="G100" i="5"/>
  <c r="E97" i="5"/>
  <c r="G97" i="5" s="1"/>
  <c r="E98" i="4"/>
  <c r="G49" i="4"/>
  <c r="E52" i="1"/>
  <c r="F52" i="1" s="1"/>
  <c r="F86" i="1"/>
  <c r="C16" i="3"/>
  <c r="C29" i="3" s="1"/>
  <c r="C35" i="2" s="1"/>
  <c r="E47" i="59"/>
  <c r="F43" i="59"/>
  <c r="E48" i="8"/>
  <c r="G48" i="8" s="1"/>
  <c r="G33" i="8"/>
  <c r="D88" i="4"/>
  <c r="D73" i="5"/>
  <c r="H69" i="60"/>
  <c r="G19" i="17"/>
  <c r="E18" i="17"/>
  <c r="F26" i="7"/>
  <c r="G40" i="17"/>
  <c r="E64" i="4"/>
  <c r="E47" i="1"/>
  <c r="F47" i="1" s="1"/>
  <c r="E53" i="1"/>
  <c r="F53" i="1" s="1"/>
  <c r="E12" i="2"/>
  <c r="G42" i="4"/>
  <c r="F27" i="17"/>
  <c r="F66" i="4"/>
  <c r="G66" i="4" s="1"/>
  <c r="G28" i="17"/>
  <c r="G50" i="17"/>
  <c r="F45" i="17"/>
  <c r="G141" i="6"/>
  <c r="E150" i="7"/>
  <c r="E158" i="7" s="1"/>
  <c r="E219" i="7" s="1"/>
  <c r="E221" i="7" s="1"/>
  <c r="E82" i="1"/>
  <c r="I8" i="2"/>
  <c r="F4" i="6"/>
  <c r="E19" i="5"/>
  <c r="H15" i="6"/>
  <c r="E30" i="34"/>
  <c r="G30" i="34" s="1"/>
  <c r="G17" i="34"/>
  <c r="G29" i="4"/>
  <c r="D35" i="1"/>
  <c r="F35" i="1" s="1"/>
  <c r="E54" i="17"/>
  <c r="E103" i="4"/>
  <c r="G56" i="17"/>
  <c r="G23" i="17"/>
  <c r="F33" i="4"/>
  <c r="D98" i="4"/>
  <c r="D101" i="4" s="1"/>
  <c r="I64" i="4" s="1"/>
  <c r="D97" i="5"/>
  <c r="F5" i="1"/>
  <c r="D82" i="1"/>
  <c r="G80" i="4"/>
  <c r="H8" i="2"/>
  <c r="F102" i="4"/>
  <c r="F83" i="5"/>
  <c r="G84" i="5"/>
  <c r="D9" i="2"/>
  <c r="G54" i="4"/>
  <c r="D24" i="1"/>
  <c r="F24" i="1" s="1"/>
  <c r="F25" i="1"/>
  <c r="G158" i="7"/>
  <c r="H150" i="7"/>
  <c r="F101" i="5"/>
  <c r="H116" i="7"/>
  <c r="G126" i="7"/>
  <c r="H126" i="7" s="1"/>
  <c r="G28" i="4"/>
  <c r="D34" i="1"/>
  <c r="E27" i="4"/>
  <c r="E6" i="3"/>
  <c r="E16" i="3" s="1"/>
  <c r="F45" i="4"/>
  <c r="G46" i="4"/>
  <c r="E49" i="1"/>
  <c r="G8" i="4"/>
  <c r="C114" i="1"/>
  <c r="C147" i="1" s="1"/>
  <c r="C143" i="1" s="1"/>
  <c r="C149" i="1"/>
  <c r="F109" i="1"/>
  <c r="F51" i="1"/>
  <c r="G35" i="5"/>
  <c r="D29" i="3"/>
  <c r="D35" i="2" s="1"/>
  <c r="E98" i="1"/>
  <c r="G103" i="4"/>
  <c r="I7" i="3"/>
  <c r="I102" i="4"/>
  <c r="O102" i="4"/>
  <c r="E101" i="4"/>
  <c r="H6" i="3"/>
  <c r="D97" i="1"/>
  <c r="D96" i="1" s="1"/>
  <c r="F110" i="1"/>
  <c r="F13" i="1"/>
  <c r="E81" i="1" l="1"/>
  <c r="F81" i="1" s="1"/>
  <c r="I7" i="2"/>
  <c r="G79" i="4"/>
  <c r="G78" i="4"/>
  <c r="F77" i="4"/>
  <c r="F100" i="4" s="1"/>
  <c r="I6" i="2"/>
  <c r="E80" i="1"/>
  <c r="F80" i="1" s="1"/>
  <c r="C16" i="1"/>
  <c r="D17" i="4"/>
  <c r="E50" i="60"/>
  <c r="E149" i="1"/>
  <c r="E114" i="1"/>
  <c r="E147" i="1" s="1"/>
  <c r="D124" i="1"/>
  <c r="F126" i="1"/>
  <c r="D84" i="4"/>
  <c r="C90" i="1"/>
  <c r="F7" i="5"/>
  <c r="F57" i="5"/>
  <c r="F65" i="5" s="1"/>
  <c r="C111" i="1"/>
  <c r="E79" i="60" s="1"/>
  <c r="G11" i="2"/>
  <c r="F82" i="1"/>
  <c r="E143" i="1"/>
  <c r="H13" i="3"/>
  <c r="G98" i="4"/>
  <c r="E95" i="4"/>
  <c r="G95" i="4" s="1"/>
  <c r="D112" i="1"/>
  <c r="F112" i="1" s="1"/>
  <c r="D68" i="5"/>
  <c r="D102" i="5" s="1"/>
  <c r="D107" i="5" s="1"/>
  <c r="E16" i="1"/>
  <c r="F17" i="4"/>
  <c r="F52" i="4" s="1"/>
  <c r="G19" i="4"/>
  <c r="E39" i="1"/>
  <c r="F39" i="1" s="1"/>
  <c r="G33" i="4"/>
  <c r="G54" i="17"/>
  <c r="E61" i="17"/>
  <c r="E20" i="4"/>
  <c r="E16" i="5"/>
  <c r="G19" i="5"/>
  <c r="E63" i="4"/>
  <c r="G64" i="4"/>
  <c r="H26" i="7"/>
  <c r="F24" i="7"/>
  <c r="D95" i="4"/>
  <c r="C112" i="1"/>
  <c r="G13" i="3"/>
  <c r="G16" i="3" s="1"/>
  <c r="G29" i="3" s="1"/>
  <c r="C46" i="2" s="1"/>
  <c r="D98" i="1"/>
  <c r="F98" i="1" s="1"/>
  <c r="H7" i="3"/>
  <c r="F85" i="6"/>
  <c r="H4" i="6"/>
  <c r="G143" i="6"/>
  <c r="G45" i="17"/>
  <c r="F61" i="17"/>
  <c r="F17" i="17"/>
  <c r="G27" i="17"/>
  <c r="G18" i="17"/>
  <c r="E17" i="17"/>
  <c r="E42" i="17" s="1"/>
  <c r="G42" i="17" s="1"/>
  <c r="H16" i="3"/>
  <c r="F49" i="1"/>
  <c r="E48" i="1"/>
  <c r="F48" i="1" s="1"/>
  <c r="F44" i="4"/>
  <c r="G44" i="4" s="1"/>
  <c r="G45" i="4"/>
  <c r="F34" i="1"/>
  <c r="D33" i="1"/>
  <c r="F93" i="4"/>
  <c r="G219" i="7"/>
  <c r="H158" i="7"/>
  <c r="I6" i="3"/>
  <c r="G102" i="4"/>
  <c r="E97" i="1"/>
  <c r="J102" i="4"/>
  <c r="K102" i="4" s="1"/>
  <c r="F101" i="4"/>
  <c r="C30" i="3"/>
  <c r="E29" i="3"/>
  <c r="E35" i="2" s="1"/>
  <c r="D10" i="2"/>
  <c r="G27" i="4"/>
  <c r="G83" i="5"/>
  <c r="F102" i="5"/>
  <c r="G30" i="3"/>
  <c r="C6" i="2" l="1"/>
  <c r="C27" i="70"/>
  <c r="D7" i="4"/>
  <c r="D43" i="4"/>
  <c r="D52" i="4"/>
  <c r="D75" i="4" s="1"/>
  <c r="E25" i="60"/>
  <c r="E23" i="60" s="1"/>
  <c r="E33" i="60" s="1"/>
  <c r="C14" i="1"/>
  <c r="C4" i="1" s="1"/>
  <c r="C56" i="1" s="1"/>
  <c r="C77" i="1" s="1"/>
  <c r="D114" i="1"/>
  <c r="F124" i="1"/>
  <c r="D149" i="1"/>
  <c r="F149" i="1" s="1"/>
  <c r="G61" i="17"/>
  <c r="C109" i="1"/>
  <c r="E104" i="60"/>
  <c r="E105" i="60" s="1"/>
  <c r="F7" i="4"/>
  <c r="E6" i="2" s="1"/>
  <c r="E16" i="2" s="1"/>
  <c r="E29" i="2" s="1"/>
  <c r="F43" i="4"/>
  <c r="E14" i="1"/>
  <c r="E4" i="1" s="1"/>
  <c r="E56" i="1" s="1"/>
  <c r="E77" i="1" s="1"/>
  <c r="F16" i="1"/>
  <c r="D81" i="4"/>
  <c r="D77" i="4" s="1"/>
  <c r="C86" i="1"/>
  <c r="E101" i="5"/>
  <c r="H24" i="7"/>
  <c r="D17" i="1"/>
  <c r="G20" i="4"/>
  <c r="E17" i="4"/>
  <c r="H85" i="6"/>
  <c r="F89" i="6"/>
  <c r="E73" i="4"/>
  <c r="G73" i="4" s="1"/>
  <c r="G63" i="4"/>
  <c r="E53" i="4"/>
  <c r="G53" i="4" s="1"/>
  <c r="E7" i="5"/>
  <c r="G7" i="5" s="1"/>
  <c r="G16" i="5"/>
  <c r="E57" i="5"/>
  <c r="G17" i="17"/>
  <c r="F75" i="4"/>
  <c r="G101" i="4"/>
  <c r="F115" i="4"/>
  <c r="E96" i="1"/>
  <c r="F96" i="1" s="1"/>
  <c r="F97" i="1"/>
  <c r="I16" i="3"/>
  <c r="G221" i="7"/>
  <c r="H221" i="7" s="1"/>
  <c r="H219" i="7"/>
  <c r="I15" i="2"/>
  <c r="I16" i="2" s="1"/>
  <c r="I28" i="2" s="1"/>
  <c r="E45" i="2" s="1"/>
  <c r="E47" i="2" s="1"/>
  <c r="F81" i="4"/>
  <c r="F119" i="4"/>
  <c r="F107" i="5"/>
  <c r="E28" i="2"/>
  <c r="E34" i="2" s="1"/>
  <c r="E36" i="2" s="1"/>
  <c r="F33" i="1"/>
  <c r="H29" i="3"/>
  <c r="D46" i="2" s="1"/>
  <c r="D30" i="3"/>
  <c r="H30" i="3"/>
  <c r="D100" i="4" l="1"/>
  <c r="D115" i="4"/>
  <c r="C16" i="2"/>
  <c r="C28" i="2" s="1"/>
  <c r="C34" i="2" s="1"/>
  <c r="C36" i="2" s="1"/>
  <c r="D27" i="70"/>
  <c r="C34" i="70"/>
  <c r="D34" i="70" s="1"/>
  <c r="K75" i="4"/>
  <c r="C38" i="2"/>
  <c r="I77" i="4"/>
  <c r="E69" i="60"/>
  <c r="J77" i="1"/>
  <c r="D147" i="1"/>
  <c r="F114" i="1"/>
  <c r="C84" i="1"/>
  <c r="G10" i="2"/>
  <c r="G16" i="2" s="1"/>
  <c r="I29" i="2"/>
  <c r="E65" i="5"/>
  <c r="G65" i="5" s="1"/>
  <c r="G57" i="5"/>
  <c r="F95" i="6"/>
  <c r="H89" i="6"/>
  <c r="G17" i="4"/>
  <c r="E52" i="4"/>
  <c r="E43" i="4"/>
  <c r="G43" i="4" s="1"/>
  <c r="E7" i="4"/>
  <c r="F17" i="1"/>
  <c r="D14" i="1"/>
  <c r="E93" i="4"/>
  <c r="E102" i="5"/>
  <c r="G101" i="5"/>
  <c r="E134" i="1"/>
  <c r="E38" i="2"/>
  <c r="E40" i="2" s="1"/>
  <c r="I10" i="2"/>
  <c r="E84" i="1"/>
  <c r="I29" i="3"/>
  <c r="E46" i="2" s="1"/>
  <c r="E30" i="3"/>
  <c r="I30" i="3"/>
  <c r="F121" i="4"/>
  <c r="K77" i="4" l="1"/>
  <c r="C40" i="2"/>
  <c r="D143" i="1"/>
  <c r="F143" i="1" s="1"/>
  <c r="F147" i="1"/>
  <c r="G29" i="2"/>
  <c r="C29" i="2"/>
  <c r="G28" i="2"/>
  <c r="C45" i="2" s="1"/>
  <c r="C47" i="2" s="1"/>
  <c r="C42" i="2" s="1"/>
  <c r="C43" i="2" s="1"/>
  <c r="C79" i="1"/>
  <c r="C113" i="1" s="1"/>
  <c r="E77" i="60"/>
  <c r="E80" i="60" s="1"/>
  <c r="E131" i="60" s="1"/>
  <c r="H15" i="2"/>
  <c r="E119" i="4"/>
  <c r="E81" i="4"/>
  <c r="G93" i="4"/>
  <c r="F141" i="6"/>
  <c r="H95" i="6"/>
  <c r="E107" i="5"/>
  <c r="G107" i="5" s="1"/>
  <c r="G102" i="5"/>
  <c r="D4" i="1"/>
  <c r="F14" i="1"/>
  <c r="D6" i="2"/>
  <c r="D16" i="2" s="1"/>
  <c r="G7" i="4"/>
  <c r="E75" i="4"/>
  <c r="G52" i="4"/>
  <c r="E49" i="2"/>
  <c r="E51" i="2" s="1"/>
  <c r="E79" i="1"/>
  <c r="C135" i="1" l="1"/>
  <c r="C139" i="1"/>
  <c r="D121" i="4"/>
  <c r="C26" i="70" s="1"/>
  <c r="D26" i="70" s="1"/>
  <c r="J115" i="4"/>
  <c r="D38" i="2"/>
  <c r="G75" i="4"/>
  <c r="F4" i="1"/>
  <c r="D56" i="1"/>
  <c r="F143" i="6"/>
  <c r="H143" i="6" s="1"/>
  <c r="H141" i="6"/>
  <c r="D84" i="1"/>
  <c r="E77" i="4"/>
  <c r="H10" i="2"/>
  <c r="H16" i="2" s="1"/>
  <c r="G81" i="4"/>
  <c r="D29" i="2"/>
  <c r="D28" i="2"/>
  <c r="D34" i="2" s="1"/>
  <c r="D36" i="2" s="1"/>
  <c r="D134" i="1"/>
  <c r="G119" i="4"/>
  <c r="E113" i="1"/>
  <c r="H28" i="2" l="1"/>
  <c r="D45" i="2" s="1"/>
  <c r="D47" i="2" s="1"/>
  <c r="H29" i="2"/>
  <c r="D42" i="2"/>
  <c r="C49" i="2"/>
  <c r="C51" i="2" s="1"/>
  <c r="C128" i="4"/>
  <c r="D79" i="1"/>
  <c r="F84" i="1"/>
  <c r="D40" i="2"/>
  <c r="E100" i="4"/>
  <c r="E115" i="4"/>
  <c r="G77" i="4"/>
  <c r="D77" i="1"/>
  <c r="F56" i="1"/>
  <c r="E139" i="1"/>
  <c r="E135" i="1"/>
  <c r="D43" i="2" l="1"/>
  <c r="I77" i="1"/>
  <c r="F77" i="1"/>
  <c r="G100" i="4"/>
  <c r="O100" i="4"/>
  <c r="D113" i="1"/>
  <c r="F79" i="1"/>
  <c r="E121" i="4"/>
  <c r="G115" i="4"/>
  <c r="K135" i="1"/>
  <c r="D139" i="1" l="1"/>
  <c r="F139" i="1" s="1"/>
  <c r="F113" i="1"/>
  <c r="D135" i="1"/>
  <c r="D49" i="2"/>
  <c r="D51" i="2" s="1"/>
  <c r="G121" i="4"/>
  <c r="J135" i="1" l="1"/>
  <c r="F135" i="1"/>
</calcChain>
</file>

<file path=xl/sharedStrings.xml><?xml version="1.0" encoding="utf-8"?>
<sst xmlns="http://schemas.openxmlformats.org/spreadsheetml/2006/main" count="6180" uniqueCount="2017">
  <si>
    <t>Sorszám</t>
  </si>
  <si>
    <t>jogcím</t>
  </si>
  <si>
    <t>2012. évi előirányzat</t>
  </si>
  <si>
    <t>%</t>
  </si>
  <si>
    <t xml:space="preserve">B E V É T E L E K </t>
  </si>
  <si>
    <t>1.</t>
  </si>
  <si>
    <t>2.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</si>
  <si>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</si>
  <si>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</si>
  <si>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</si>
  <si>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</si>
  <si>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</si>
  <si>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</si>
  <si>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</si>
  <si>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</si>
  <si>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</si>
  <si>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</si>
  <si>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</si>
  <si>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</si>
  <si>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2.7.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</si>
  <si>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</si>
  <si>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</si>
  <si>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</si>
  <si>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</si>
  <si>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</si>
  <si>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</si>
  <si>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</si>
  <si>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</si>
  <si>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</si>
  <si>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</si>
  <si>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</si>
  <si>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</si>
  <si>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</si>
  <si>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</si>
  <si>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</si>
  <si>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</si>
  <si>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</si>
  <si>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</si>
  <si>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>II. Közhatalmi bevételek</t>
  </si>
  <si>
    <t>5.</t>
  </si>
  <si>
    <t>5.1.</t>
  </si>
  <si>
    <t>5.2.</t>
  </si>
  <si>
    <t>Felhasználási kötöttséggel járó normatív támogatás</t>
  </si>
  <si>
    <t>Központosított előirányzatok</t>
  </si>
  <si>
    <t>Kiegészítő támogatás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</si>
  <si>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</si>
  <si>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</si>
  <si>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</si>
  <si>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</si>
  <si>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</t>
  </si>
  <si>
    <t>6.1.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</si>
  <si>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</si>
  <si>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</si>
  <si>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</si>
  <si>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</si>
  <si>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</si>
  <si>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</si>
  <si>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</si>
  <si>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</si>
  <si>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</si>
  <si>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</si>
  <si>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6.1.6.</t>
  </si>
  <si>
    <t>Központi költségvetéstől támogatásértékű bevétel</t>
  </si>
  <si>
    <t>6.2.</t>
  </si>
  <si>
    <t>6.2.1.</t>
  </si>
  <si>
    <t>6.2.2.</t>
  </si>
  <si>
    <t>6.2.3.</t>
  </si>
  <si>
    <t>6.2.4.</t>
  </si>
  <si>
    <t>6.2.5.</t>
  </si>
  <si>
    <t>Egyéb felhalmozási célú támogatásértékű bevétel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</si>
  <si>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</si>
  <si>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</si>
  <si>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</si>
  <si>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</si>
  <si>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Pénzügyi befektetésekből származó bevétel</t>
  </si>
  <si>
    <t>8.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</si>
  <si>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</si>
  <si>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</si>
  <si>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</si>
  <si>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</si>
  <si>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>10.</t>
  </si>
  <si>
    <t>11.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</si>
  <si>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</si>
  <si>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</si>
  <si>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</si>
  <si>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</si>
  <si>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12.</t>
  </si>
  <si>
    <t>12.1.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</si>
  <si>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</si>
  <si>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</si>
  <si>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</si>
  <si>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</si>
  <si>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</si>
  <si>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működési, finanszírozási célú bevétel</t>
  </si>
  <si>
    <t>12.2.</t>
  </si>
  <si>
    <t>Rövid lejáratú hitelek felvétele</t>
  </si>
  <si>
    <t>Hosszú lejáratú hitelek felvétele</t>
  </si>
  <si>
    <t>Befektetési célú belföldi, külföldi értékpapírok kibocsátása, értékesítése</t>
  </si>
  <si>
    <t>Egyéb felhalmozási finanszírozási célú bevétel</t>
  </si>
  <si>
    <t>13.</t>
  </si>
  <si>
    <t>14.</t>
  </si>
  <si>
    <t>K I A D Á S O K</t>
  </si>
  <si>
    <r>
      <t xml:space="preserve">I. Működési költségvetés kiadásai </t>
    </r>
    <r>
      <rPr>
        <sz val="11"/>
        <rFont val="Times New Roman CE"/>
        <family val="1"/>
        <charset val="238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</si>
  <si>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</si>
  <si>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</si>
  <si>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</si>
  <si>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</si>
  <si>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</si>
  <si>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</si>
  <si>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</si>
  <si>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</si>
  <si>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</si>
  <si>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</si>
  <si>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1.5.1</t>
  </si>
  <si>
    <t>Egyéb működési célú kiadások Intézmények</t>
  </si>
  <si>
    <t>1.5.2</t>
  </si>
  <si>
    <t>Egyéb működési célú kiadások Önkormányzat</t>
  </si>
  <si>
    <t>1.5.2.1.</t>
  </si>
  <si>
    <t xml:space="preserve"> Lakosságnak juttatott támogatások</t>
  </si>
  <si>
    <t>1.5.2.1.1.</t>
  </si>
  <si>
    <t>Szociális, rászorultság jellegű ellátások</t>
  </si>
  <si>
    <t>1.5.2.2.</t>
  </si>
  <si>
    <t>Működési célú pénzmaradvány átadás</t>
  </si>
  <si>
    <t>1.5.2.3.</t>
  </si>
  <si>
    <t>Működési célú pénzeszköz átadás államháztartáson kívülre</t>
  </si>
  <si>
    <t>1.5.2.4.</t>
  </si>
  <si>
    <t>Működési célú támogatásértékű kiadás</t>
  </si>
  <si>
    <t>1.5.2.5.</t>
  </si>
  <si>
    <t>Garancia és kezességvállalásból származó kifizetés</t>
  </si>
  <si>
    <t>1.5.2.6.</t>
  </si>
  <si>
    <t>Kamatkiadások</t>
  </si>
  <si>
    <t>1.5.2.7.</t>
  </si>
  <si>
    <t>Pénzforgalom nélküli kiadások</t>
  </si>
  <si>
    <r>
      <t xml:space="preserve">II. Felhalmozási költségvetés kiadásai </t>
    </r>
    <r>
      <rPr>
        <sz val="11"/>
        <rFont val="Times New Roman CE"/>
        <family val="1"/>
        <charset val="238"/>
      </rPr>
      <t>(2.1+…+2.7)</t>
    </r>
  </si>
  <si>
    <t>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</si>
  <si>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</si>
  <si>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</si>
  <si>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</si>
  <si>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</si>
  <si>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</si>
  <si>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</si>
  <si>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2.7.1.</t>
  </si>
  <si>
    <t>Felhalmozási célú pénzmaradvány átadás</t>
  </si>
  <si>
    <t>2.7.2.</t>
  </si>
  <si>
    <t>Felhalmozási célú pénzeszközátadás államháztartáson kívülre</t>
  </si>
  <si>
    <t>2.7.3.</t>
  </si>
  <si>
    <t>Felhalmozási célú támogatásértékű kiadás</t>
  </si>
  <si>
    <t>2.7.4.</t>
  </si>
  <si>
    <t>Pénzügyi befektetések kiadásai</t>
  </si>
  <si>
    <t>III. Kölcsön (munkavállalónak adott kölcsön)</t>
  </si>
  <si>
    <t>4.</t>
  </si>
  <si>
    <r>
      <t xml:space="preserve">IV. Tartalékok </t>
    </r>
    <r>
      <rPr>
        <sz val="11"/>
        <rFont val="Times New Roman CE"/>
        <family val="1"/>
        <charset val="238"/>
      </rPr>
      <t>(4.1.+4.2.)</t>
    </r>
  </si>
  <si>
    <t>4.1</t>
  </si>
  <si>
    <t>Általános tartalék</t>
  </si>
  <si>
    <t>4.2</t>
  </si>
  <si>
    <t>Működési céltartalék</t>
  </si>
  <si>
    <t>4.3</t>
  </si>
  <si>
    <t>Felhalmozási 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</si>
  <si>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</si>
  <si>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</si>
  <si>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</si>
  <si>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</si>
  <si>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</si>
  <si>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</si>
  <si>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</si>
  <si>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</si>
  <si>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</si>
  <si>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</si>
  <si>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</si>
  <si>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</si>
  <si>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</si>
  <si>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</si>
  <si>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</si>
  <si>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</si>
  <si>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</si>
  <si>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</si>
  <si>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</si>
  <si>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</si>
  <si>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>VII. Kiegyenlítő-, függő-, átfutó kiadások</t>
  </si>
  <si>
    <t>7.</t>
  </si>
  <si>
    <t xml:space="preserve"> KIADÁSOK ÖSSZESEN: (5+6)</t>
  </si>
  <si>
    <t>KÖLTSÉGVETÉSI BEVÉTELEK ÉS KIADÁSOK EGYENLEGE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</si>
  <si>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</si>
  <si>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</si>
  <si>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11"/>
        <rFont val="Times New Roman CE"/>
        <family val="1"/>
        <charset val="238"/>
      </rPr>
      <t>(1.1 - 1.2) +/-</t>
    </r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</si>
  <si>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</si>
  <si>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</si>
  <si>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</si>
  <si>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</si>
  <si>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</si>
  <si>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          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</si>
  <si>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</si>
  <si>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</si>
  <si>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</si>
  <si>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</si>
  <si>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t xml:space="preserve"> Működési célú bevételek és kiadások mérlege
(Önkormányzati szinten)</t>
  </si>
  <si>
    <t>Ezer Ft</t>
  </si>
  <si>
    <t>Sor-
szám</t>
  </si>
  <si>
    <t>Bevételek</t>
  </si>
  <si>
    <t>Kiadások</t>
  </si>
  <si>
    <t>Megnevezés</t>
  </si>
  <si>
    <t>Személyi juttatások</t>
  </si>
  <si>
    <t>Közhatalmi bevételek</t>
  </si>
  <si>
    <t>Dologi kiadások</t>
  </si>
  <si>
    <t>Tartalékok</t>
  </si>
  <si>
    <t>Működési célú pénzeszközátvétel államháztartáson kívülről</t>
  </si>
  <si>
    <t>Működési célú kölcsön visszatérítése, igénybevétele</t>
  </si>
  <si>
    <t>9.</t>
  </si>
  <si>
    <t>Kapott kölcsön, nyújtott kölcsön visszatér.</t>
  </si>
  <si>
    <t>Költségvetési bevételek összesen:</t>
  </si>
  <si>
    <t>Költségvetési kiadások összesen:</t>
  </si>
  <si>
    <t>Előző évi műk. célú pénzm. igénybev.</t>
  </si>
  <si>
    <t>15.</t>
  </si>
  <si>
    <t>Előző évi váll. maradv. igénybev.</t>
  </si>
  <si>
    <t>16.</t>
  </si>
  <si>
    <t>Rövid lejáratú hitelek tölresztése</t>
  </si>
  <si>
    <t>17.</t>
  </si>
  <si>
    <t>18.</t>
  </si>
  <si>
    <t>Forgatási célú belf., külf. értékpapírok kibocsátása, értékesítése</t>
  </si>
  <si>
    <t>19.</t>
  </si>
  <si>
    <t>Befektetési célú belf., külf. értékpapírok vásárlása</t>
  </si>
  <si>
    <t>20.</t>
  </si>
  <si>
    <t>Egyéb működési finanszírozási célú bevétel</t>
  </si>
  <si>
    <t>21.</t>
  </si>
  <si>
    <t>22.</t>
  </si>
  <si>
    <t xml:space="preserve">Egyéb </t>
  </si>
  <si>
    <t>23.</t>
  </si>
  <si>
    <t>24.</t>
  </si>
  <si>
    <t>Finanszírozási célú bevételek (16+…+24)</t>
  </si>
  <si>
    <t>Finanszírozási célú kiadások (14+…+24)</t>
  </si>
  <si>
    <t>25.</t>
  </si>
  <si>
    <t>BEVÉTELEK ÖSSZESEN (13+14+15+25)</t>
  </si>
  <si>
    <t>KIADÁSOK ÖSSZESEN (13+25)</t>
  </si>
  <si>
    <t>26.</t>
  </si>
  <si>
    <t>Költségvetési hiány:</t>
  </si>
  <si>
    <t>Költségvetési többlet:</t>
  </si>
  <si>
    <t>működési bevételek összesen:</t>
  </si>
  <si>
    <t>felhalmozási bevétlek összesen:</t>
  </si>
  <si>
    <t>összes bevétel:</t>
  </si>
  <si>
    <t>2. sz melléklet szerint bevétel össz.</t>
  </si>
  <si>
    <t>különbözet:</t>
  </si>
  <si>
    <t>működési kiadások összesen:</t>
  </si>
  <si>
    <t>felhalmozási kiadások összesen:</t>
  </si>
  <si>
    <t>összes kiadás:</t>
  </si>
  <si>
    <t>2. sz melléklet szerint kiadás össz.</t>
  </si>
  <si>
    <t xml:space="preserve"> Felhalmozási célú bevételek és kiadások mérlege
(Önkormányzati szinten)</t>
  </si>
  <si>
    <t xml:space="preserve"> Ezer Ft</t>
  </si>
  <si>
    <t>Tárgyi eszközök, immateriális javak értékesítése</t>
  </si>
  <si>
    <t>Vagyoni értékű jogok értékesítése, hasznosítása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</si>
  <si>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</si>
  <si>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</si>
  <si>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</si>
  <si>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</si>
  <si>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Átvett pénzeszközök államháztartáson kívülről</t>
  </si>
  <si>
    <t>EU-s támogatásból származó forrás</t>
  </si>
  <si>
    <t>Előző évi felh. célú pénzm. igénybev.</t>
  </si>
  <si>
    <t>Hitelek törlesztése és kamatai</t>
  </si>
  <si>
    <t>Befektetési célú belföldi, külföldi értékpapírok kibocsátása, érték.</t>
  </si>
  <si>
    <t>Finansírozási célú bev. (13+…+21)</t>
  </si>
  <si>
    <t>Finansírozási célú kiad. (12+...+21)</t>
  </si>
  <si>
    <t>BEVÉTELEK ÖSSZESEN (11+12+22)</t>
  </si>
  <si>
    <t>KIADÁSOK ÖSSZESEN (11+22)</t>
  </si>
  <si>
    <t>megnevezése</t>
  </si>
  <si>
    <t>Vecsés Város Önkormányzat és Intézményei</t>
  </si>
  <si>
    <t>Feladat megnevezése</t>
  </si>
  <si>
    <t>összesen</t>
  </si>
  <si>
    <t>Száma</t>
  </si>
  <si>
    <t>Előirányzat-csoport, kiemelt előirányzat megnevezése</t>
  </si>
  <si>
    <t>Előirányzat</t>
  </si>
  <si>
    <t>Módosított Előirányzat</t>
  </si>
  <si>
    <t>Teljesítés</t>
  </si>
  <si>
    <t>I. Önkormányzatok működési bevételei</t>
  </si>
  <si>
    <t>Kezességvállalással kapcsolatos megtérülés</t>
  </si>
  <si>
    <t>Egyéb sajátos bevétel</t>
  </si>
  <si>
    <t>Egyéb támogatás, kiegészítés</t>
  </si>
  <si>
    <t>Többcélú kist. társulástól, jogi szem. társulástól átvett pénzeszköz</t>
  </si>
  <si>
    <t>Támogatásértékű mükődési bevétel /Int.-nek Állami tám./</t>
  </si>
  <si>
    <t>Működési célú pénzügyi műveletek bevételei</t>
  </si>
  <si>
    <t>3,4,5, összesen</t>
  </si>
  <si>
    <t>régi tábla szerint</t>
  </si>
  <si>
    <t>különbözet</t>
  </si>
  <si>
    <t>Felhalmozási célú pénzügyi műveletek bevételei</t>
  </si>
  <si>
    <t>VII. Önkormányzati támogatás</t>
  </si>
  <si>
    <t>Társadalom,szoc.pol.és egyéb juttatások tám.</t>
  </si>
  <si>
    <t>1.6</t>
  </si>
  <si>
    <t>Mükődési céltartalék</t>
  </si>
  <si>
    <t>EU-s forrásból finansz. támogatással megv. pr., projektek önk. hozzájárulásának kiadásai</t>
  </si>
  <si>
    <t>4.1.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</si>
  <si>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</si>
  <si>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</si>
  <si>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</si>
  <si>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</si>
  <si>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</si>
  <si>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</si>
  <si>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VII. Halmozódás kiszűrése</t>
  </si>
  <si>
    <t>VIII. Függő,átfutó,kiegyenlítő kiadások</t>
  </si>
  <si>
    <t>KIADÁSOK ÖSSZESEN: (6+7)</t>
  </si>
  <si>
    <t>Éves engedélyezett létszám előirányzat (fő)</t>
  </si>
  <si>
    <t>Közfoglalkoztatottak létszáma (fő)</t>
  </si>
  <si>
    <t>Vecsés Város Önkormányzat</t>
  </si>
  <si>
    <t>I/2. Önkormányzat működési bevételek (3.1.+…+3.8.)</t>
  </si>
  <si>
    <r>
      <t xml:space="preserve">I. Működési költségvetés kiadásai </t>
    </r>
    <r>
      <rPr>
        <sz val="8"/>
        <rFont val="Times New Roman CE"/>
        <family val="1"/>
        <charset val="238"/>
      </rPr>
      <t>(1.1+…+1.5.)</t>
    </r>
  </si>
  <si>
    <t>Lakosságnak juttatott támogatások</t>
  </si>
  <si>
    <t>1.5.3</t>
  </si>
  <si>
    <t>1.5.4</t>
  </si>
  <si>
    <t>1.5.5</t>
  </si>
  <si>
    <t>1.5.6</t>
  </si>
  <si>
    <t>1.5.7</t>
  </si>
  <si>
    <t>1.5.8</t>
  </si>
  <si>
    <r>
      <t xml:space="preserve">II. Felhalmozási költségvetés kiadásai </t>
    </r>
    <r>
      <rPr>
        <sz val="8"/>
        <rFont val="Times New Roman CE"/>
        <family val="1"/>
        <charset val="238"/>
      </rPr>
      <t>(2.1+…+2.7)</t>
    </r>
  </si>
  <si>
    <t>2.1</t>
  </si>
  <si>
    <t>beruházási kiadások</t>
  </si>
  <si>
    <t>2.2</t>
  </si>
  <si>
    <t>2.3</t>
  </si>
  <si>
    <t>2.4</t>
  </si>
  <si>
    <t>2.5</t>
  </si>
  <si>
    <t>2.6</t>
  </si>
  <si>
    <t>2.7</t>
  </si>
  <si>
    <t>2.7.2.1</t>
  </si>
  <si>
    <t xml:space="preserve"> - Felhalmozási célú pénzeszközátadás államháztartáson kívülre</t>
  </si>
  <si>
    <t>2.7.2.2</t>
  </si>
  <si>
    <t xml:space="preserve"> - Felhalmozási célú támogatásértékű kiadás</t>
  </si>
  <si>
    <t>2.7.2.3</t>
  </si>
  <si>
    <t xml:space="preserve"> - Pénzügyi befektetések kiadásai</t>
  </si>
  <si>
    <t>4.3.</t>
  </si>
  <si>
    <t>VII. Függő,átfutó,kiegyenlítő kiadások</t>
  </si>
  <si>
    <t>sorszám</t>
  </si>
  <si>
    <t>Önkormányzat bevételei</t>
  </si>
  <si>
    <t>I. MŰKÖDÉSI BEVÉTELEK</t>
  </si>
  <si>
    <t>Önkormányzat működési bevételei</t>
  </si>
  <si>
    <t>Hatósági jogkörhöz köthető működési bevételek</t>
  </si>
  <si>
    <t>1.1.1.1.</t>
  </si>
  <si>
    <t>Okmányiroda, igazgatási tev.</t>
  </si>
  <si>
    <t>működéshez kapcsolódó egyéb bevételek</t>
  </si>
  <si>
    <t>1.1.2.1.</t>
  </si>
  <si>
    <t>Szolgáltatások bevételei</t>
  </si>
  <si>
    <t>1.1.2.2.</t>
  </si>
  <si>
    <t>Egyéb bevétel</t>
  </si>
  <si>
    <t>1.1.2.2.1</t>
  </si>
  <si>
    <t xml:space="preserve"> - Piaci helypénz,közterület fogl.</t>
  </si>
  <si>
    <t>1.1.2.2.2</t>
  </si>
  <si>
    <t xml:space="preserve"> - Nagybani piac bevétel</t>
  </si>
  <si>
    <t>1.1.2.2.3</t>
  </si>
  <si>
    <t xml:space="preserve"> - Búcsú</t>
  </si>
  <si>
    <t>1.1.2.2.4</t>
  </si>
  <si>
    <t xml:space="preserve"> - Bírság</t>
  </si>
  <si>
    <t>1.1.2.2.5</t>
  </si>
  <si>
    <t xml:space="preserve"> - Egyéb</t>
  </si>
  <si>
    <t>1.1.3.</t>
  </si>
  <si>
    <t>egyéb sajátos bevételei</t>
  </si>
  <si>
    <t>1.1.3.1.</t>
  </si>
  <si>
    <t>1.1.3.1.1.</t>
  </si>
  <si>
    <t>Helyiségek tartós bérbeadás</t>
  </si>
  <si>
    <t>1.1.3.1.1.1</t>
  </si>
  <si>
    <t xml:space="preserve"> - Önkormányzati</t>
  </si>
  <si>
    <t>1.1.3.1.1.2</t>
  </si>
  <si>
    <t xml:space="preserve"> - Egyéb építmény bérbeadása (GYÁVÍV Kft)</t>
  </si>
  <si>
    <t>1.1.2.1.1.3</t>
  </si>
  <si>
    <t xml:space="preserve"> - Károly u. 2.</t>
  </si>
  <si>
    <t>1.1.3.2.</t>
  </si>
  <si>
    <t>1.1.4.</t>
  </si>
  <si>
    <t>Kamatbevételek</t>
  </si>
  <si>
    <t>1.1.5.</t>
  </si>
  <si>
    <t xml:space="preserve">ÁFA bevétel </t>
  </si>
  <si>
    <t>1.1.6</t>
  </si>
  <si>
    <t xml:space="preserve">Tárgyi eszköz értékesítés ÁFA bevétel </t>
  </si>
  <si>
    <t>1.1.7</t>
  </si>
  <si>
    <t>Áh.kiv.Közvetített szolgáltatások</t>
  </si>
  <si>
    <t>1.2.1.1.</t>
  </si>
  <si>
    <t xml:space="preserve"> -Építményadó</t>
  </si>
  <si>
    <t>1.2.1.2</t>
  </si>
  <si>
    <t xml:space="preserve"> -Iparűzési adó</t>
  </si>
  <si>
    <t>1.2.1.3</t>
  </si>
  <si>
    <t xml:space="preserve"> -Kommunális adó</t>
  </si>
  <si>
    <t>1.2.1.4</t>
  </si>
  <si>
    <t xml:space="preserve"> -Napi általány (piac)</t>
  </si>
  <si>
    <t>1.2.1.5.</t>
  </si>
  <si>
    <t xml:space="preserve"> -Pótlékok,bírságok</t>
  </si>
  <si>
    <t>1.2.1.6.</t>
  </si>
  <si>
    <t xml:space="preserve"> -Idegenforgalmi adó</t>
  </si>
  <si>
    <t>1.2.2.1.</t>
  </si>
  <si>
    <t>1.2.2.2</t>
  </si>
  <si>
    <t xml:space="preserve"> - SZJA-ból kiegészítés jövedelem differenciálás miatt</t>
  </si>
  <si>
    <t>1.2.2.3</t>
  </si>
  <si>
    <t xml:space="preserve"> - SZJA Normatív módon elosztott része</t>
  </si>
  <si>
    <t>1.2.2.4.</t>
  </si>
  <si>
    <t>1.2.3.</t>
  </si>
  <si>
    <t>Különféle bírságok</t>
  </si>
  <si>
    <t>1.2.4.</t>
  </si>
  <si>
    <t>Helyszíni és szabálysértési bírság</t>
  </si>
  <si>
    <t>1.2.5.</t>
  </si>
  <si>
    <t>Talajterhelési díj</t>
  </si>
  <si>
    <t>1.2.6.</t>
  </si>
  <si>
    <t>Egyéb sajátos folyó bevételek</t>
  </si>
  <si>
    <t>1.2.6.1.</t>
  </si>
  <si>
    <t>Önkormányzati lakások lakbér</t>
  </si>
  <si>
    <t>Önkormányzatok költségvetési támogatása</t>
  </si>
  <si>
    <t>1.3.1</t>
  </si>
  <si>
    <t>1.3.2</t>
  </si>
  <si>
    <t>Normatíva, kötött felhasználású támogatás</t>
  </si>
  <si>
    <t>1.3.2.1</t>
  </si>
  <si>
    <t xml:space="preserve"> - Osztályfőnöki pótlék</t>
  </si>
  <si>
    <t>1.3.2.2</t>
  </si>
  <si>
    <t xml:space="preserve"> - Ped.szakvizsga és továbbképzés</t>
  </si>
  <si>
    <t>1.3.2.3</t>
  </si>
  <si>
    <t xml:space="preserve"> - Szociális továbbképzés és szakvizsga támogatás</t>
  </si>
  <si>
    <t>1.3.2.4</t>
  </si>
  <si>
    <t xml:space="preserve"> - Óvodai és iskolai kedvezményes étkeztetés</t>
  </si>
  <si>
    <t>1.3.2.5</t>
  </si>
  <si>
    <t xml:space="preserve"> - Ingyen tankönyv</t>
  </si>
  <si>
    <t>1.3.2.6</t>
  </si>
  <si>
    <t xml:space="preserve"> - Szakmai informatikai fejlesztés</t>
  </si>
  <si>
    <t>1.3.2.7</t>
  </si>
  <si>
    <t xml:space="preserve"> - Bölcsödei ingyenes étkeztetés</t>
  </si>
  <si>
    <t>1.3.2.8</t>
  </si>
  <si>
    <t xml:space="preserve"> - Egyes jövedelem ptl.támogatások</t>
  </si>
  <si>
    <t>Központosított előírányzatok</t>
  </si>
  <si>
    <t>1.3.3.1</t>
  </si>
  <si>
    <t xml:space="preserve"> - Nemzetiségi Önkormányzatok központi előirányzata</t>
  </si>
  <si>
    <t>1.3.3.1.1</t>
  </si>
  <si>
    <t xml:space="preserve">       -ebből Német Nemzetiségi Önkormányzat</t>
  </si>
  <si>
    <t>1.3.3.1.2.</t>
  </si>
  <si>
    <t xml:space="preserve">       -ebből Cigány Nemzetiségi Önkormányzat</t>
  </si>
  <si>
    <t>2.1.3.</t>
  </si>
  <si>
    <t>Kiegészítő támogatás helyi önkormányzatok bérkiadásához</t>
  </si>
  <si>
    <t>2.1.4</t>
  </si>
  <si>
    <t>Könyvtár érdekeltségnövelő pály.</t>
  </si>
  <si>
    <t>2.1.5</t>
  </si>
  <si>
    <t>Közműfejlesztési támogatás</t>
  </si>
  <si>
    <t>1.3.3.2</t>
  </si>
  <si>
    <t>1.3.5.</t>
  </si>
  <si>
    <t>Önkormányzatok egyéb költségvetési támogatása</t>
  </si>
  <si>
    <t>1.3.5.1</t>
  </si>
  <si>
    <t>Céljellegű, decentrelizált támogatás</t>
  </si>
  <si>
    <t>1.3.5.1.1.</t>
  </si>
  <si>
    <t>KMR támogatás /Széchenyi út burkolatfelújítás/</t>
  </si>
  <si>
    <t>1.3.4.</t>
  </si>
  <si>
    <t>1.4.1.</t>
  </si>
  <si>
    <t>1.4.1.1.</t>
  </si>
  <si>
    <t>Működési célú, támogatásértékű bev. szervezetektől</t>
  </si>
  <si>
    <t>1.4.1.1.1</t>
  </si>
  <si>
    <t>1.4.1.1.2</t>
  </si>
  <si>
    <t>Társönkormányzatoktól átvett pénzeszközök</t>
  </si>
  <si>
    <t>1.4.1.1.3</t>
  </si>
  <si>
    <t>1.4.1.1.4</t>
  </si>
  <si>
    <t>EU költségvetésből átvett pénzeszközök</t>
  </si>
  <si>
    <t>1.4.1.1.5</t>
  </si>
  <si>
    <t>Központi költségvetésből átvett pénzeszközök</t>
  </si>
  <si>
    <t>1.4.1.1.6</t>
  </si>
  <si>
    <t>1.4.1.2.</t>
  </si>
  <si>
    <t>Működés célú, támogatásért.bev. EU-tól.kp.ktgvetésből</t>
  </si>
  <si>
    <t>1.5.</t>
  </si>
  <si>
    <t>Végleges pénzeszközátvétel ÁH kivülről</t>
  </si>
  <si>
    <t>Működési célú pénzeszközátvétel ÁH kivülről</t>
  </si>
  <si>
    <t>1.6.</t>
  </si>
  <si>
    <t>Támogatási kölcsönök visszatérülése</t>
  </si>
  <si>
    <t>Pénzforgalmi műk.célú ktgvet.-i bevételek összesen:</t>
  </si>
  <si>
    <t>1.7.</t>
  </si>
  <si>
    <t xml:space="preserve">Működési célú előző évi pénzmaradvány </t>
  </si>
  <si>
    <t>1.8.</t>
  </si>
  <si>
    <t>Működési hiány finanszírozására igénybevett előző évi pénzmaradvány</t>
  </si>
  <si>
    <t>Pénzforgalom nélküli működési bevételek összesen:</t>
  </si>
  <si>
    <t>1.9.</t>
  </si>
  <si>
    <t>Pénzforgalom nélküli működési v</t>
  </si>
  <si>
    <t>Költségvetési működési bevételek:</t>
  </si>
  <si>
    <t>1.11.</t>
  </si>
  <si>
    <t>Működési célú hitel</t>
  </si>
  <si>
    <t>1.11.1.</t>
  </si>
  <si>
    <t>Likviditási hitel felvétel Pénzügyi vállalkozástól</t>
  </si>
  <si>
    <t>1.12.</t>
  </si>
  <si>
    <t>Rövid lejáratú éven belüli értékpapírok</t>
  </si>
  <si>
    <t>1.12.1</t>
  </si>
  <si>
    <t>Értékpapírok beváltása</t>
  </si>
  <si>
    <t>Finanszírozási működési bevételek összesen:</t>
  </si>
  <si>
    <t>I. MŰKÖDÉSI BEVÉTELEK ÖSSZESEN:</t>
  </si>
  <si>
    <t>II. FELHALMOZÁSI CÉLÚ BEVÉTELEK</t>
  </si>
  <si>
    <t>Önk.felhalmozási és tőke jellegű bevételei</t>
  </si>
  <si>
    <t>2.1.1.</t>
  </si>
  <si>
    <t>Tárgyi eszközök, immat. javak értékesítése</t>
  </si>
  <si>
    <t>2.1.1.1</t>
  </si>
  <si>
    <t>Ingatlan</t>
  </si>
  <si>
    <t>2.1.1.2</t>
  </si>
  <si>
    <t>3.2.2.</t>
  </si>
  <si>
    <t xml:space="preserve">Gép, berendezés </t>
  </si>
  <si>
    <t>3.2.3.</t>
  </si>
  <si>
    <t>Tartós bérelti díjak</t>
  </si>
  <si>
    <t>3.2.3.1.</t>
  </si>
  <si>
    <t>3.2.3.1.1.</t>
  </si>
  <si>
    <t>3.2.3.1.2.</t>
  </si>
  <si>
    <t xml:space="preserve"> - Laktanya</t>
  </si>
  <si>
    <t>3.2.3.1.3.</t>
  </si>
  <si>
    <t>3.2.3.1.4.</t>
  </si>
  <si>
    <t>3.2.4.</t>
  </si>
  <si>
    <t>3.2.4.1</t>
  </si>
  <si>
    <t>3.2.4.2.</t>
  </si>
  <si>
    <t xml:space="preserve"> - Asztalbérlet</t>
  </si>
  <si>
    <t>3.2.4.3.</t>
  </si>
  <si>
    <t>3.2.4.4.</t>
  </si>
  <si>
    <t>3.2.4.5</t>
  </si>
  <si>
    <t>3.2.4.6</t>
  </si>
  <si>
    <t xml:space="preserve"> - közterület </t>
  </si>
  <si>
    <t>3.2.6.</t>
  </si>
  <si>
    <t>egyéb</t>
  </si>
  <si>
    <t>2.1.2.</t>
  </si>
  <si>
    <t>Pénzügyi befektetések bevételei</t>
  </si>
  <si>
    <t>2.1.2.1</t>
  </si>
  <si>
    <t>Osztalék és hozam bevétel</t>
  </si>
  <si>
    <t>2.2.1.</t>
  </si>
  <si>
    <t>Végleges pénzeszköz átvétel Áh kivülről</t>
  </si>
  <si>
    <t>2.3.1.</t>
  </si>
  <si>
    <t>Felhalmozási célú pénzeszköz átvétel Áh kivülről</t>
  </si>
  <si>
    <t>2.3.1.1.</t>
  </si>
  <si>
    <t xml:space="preserve">Közműfejlesztésre lakosságtól </t>
  </si>
  <si>
    <t>2.3.1.2</t>
  </si>
  <si>
    <t>EU-s költségvetésből</t>
  </si>
  <si>
    <t>Tám. kölcsönök visszatérülése, igénybevétele</t>
  </si>
  <si>
    <t>2.4.1.</t>
  </si>
  <si>
    <t>Felhalm. kölcsön nyújtása / kamatmentes kölcsön /</t>
  </si>
  <si>
    <t>Pénzforgalmi felhalm. célú költségvetési bevételek:</t>
  </si>
  <si>
    <t>Pénzforgalom nélküli bevételek</t>
  </si>
  <si>
    <t xml:space="preserve">Felhalmozási célú előző évi pénzmaradvány </t>
  </si>
  <si>
    <t>Felhalmozási hiány finanszírozására igénybevett előző évi pénzmaradvány</t>
  </si>
  <si>
    <t>Pénzforgalom nélküli felhalmozási bevételek összesen:</t>
  </si>
  <si>
    <t>Költségvetési felhalmozási bevételek:</t>
  </si>
  <si>
    <t>2.8.</t>
  </si>
  <si>
    <t xml:space="preserve">Hosszú lejáratú hitelek </t>
  </si>
  <si>
    <t>2.8.1.</t>
  </si>
  <si>
    <t>Felhalmozási célú hitelfelvétel</t>
  </si>
  <si>
    <t>2.8.2.</t>
  </si>
  <si>
    <t>Tartozás kötvénykibocsátásból</t>
  </si>
  <si>
    <t>Finanszírozási felhalmozási bevételek összesen:</t>
  </si>
  <si>
    <t>II. FELHALMOZÁSI BEVÉTELEK ÖSSZESEN:</t>
  </si>
  <si>
    <t>Kiegyenlítő, függő, átfutó bevételek</t>
  </si>
  <si>
    <t>MŰKÖD. ÉS FELHALM. BEVÉTELEK ÖSSZESEN</t>
  </si>
  <si>
    <t>Intézményi támogatásból származó halmozódás kiszűrése:</t>
  </si>
  <si>
    <t>ÖNKORMÁNYZAT BEVÉTELEI ÖSSZESEN:</t>
  </si>
  <si>
    <t>Önkormányzat Kiadásai</t>
  </si>
  <si>
    <t>I. MŰKÖDÉSI KIADÁSOK</t>
  </si>
  <si>
    <t>Személyi juttatás</t>
  </si>
  <si>
    <t>Munkaadót terhelő járulékok</t>
  </si>
  <si>
    <t>Létszámfejlesztés 3 fő</t>
  </si>
  <si>
    <t>1.2.3.1</t>
  </si>
  <si>
    <t>Dologi és egyéb folyó kiadások</t>
  </si>
  <si>
    <t>1.3.1.</t>
  </si>
  <si>
    <t>Önkormányzat</t>
  </si>
  <si>
    <t>1.3.1.1</t>
  </si>
  <si>
    <t>Bevételek után fizetendő Áfa /Bérl. díj stb./</t>
  </si>
  <si>
    <t>1.3.1.2</t>
  </si>
  <si>
    <t>Rehabilitációs hozzájárulás</t>
  </si>
  <si>
    <t>1.3.1.3</t>
  </si>
  <si>
    <t>Folyószámlahitel kamatai</t>
  </si>
  <si>
    <t>1.3.1.4</t>
  </si>
  <si>
    <t>1.3.2.</t>
  </si>
  <si>
    <t>Önkormányzat által folyósított ellátások posta ktg.</t>
  </si>
  <si>
    <t>Postaköltség</t>
  </si>
  <si>
    <t>1.4.2.</t>
  </si>
  <si>
    <t>1.4.3</t>
  </si>
  <si>
    <t>1.4.4</t>
  </si>
  <si>
    <t>1.4.5</t>
  </si>
  <si>
    <t>1.4.6</t>
  </si>
  <si>
    <t>Előző évi előírányzat-, pénzmaradvány átadás</t>
  </si>
  <si>
    <t>Végleges pénzeszközátadás Áh.  kivülre</t>
  </si>
  <si>
    <t>1.6.1.</t>
  </si>
  <si>
    <t>Alapítványok</t>
  </si>
  <si>
    <t>1.6.1.1</t>
  </si>
  <si>
    <t>Vecsés Közrendjéért és  Közbiztonságáért Közalapítvány</t>
  </si>
  <si>
    <t>1.6.1.2.</t>
  </si>
  <si>
    <t>Vecsési Fúvószenekari Alapítvány</t>
  </si>
  <si>
    <t>1.6.1.3.</t>
  </si>
  <si>
    <t>Vecsés Tájékoztatásáért Közalapítvány</t>
  </si>
  <si>
    <t>1.6.1.3.1</t>
  </si>
  <si>
    <t xml:space="preserve"> - ebből Tavaszi fesztivál</t>
  </si>
  <si>
    <t>1.6.1.4.</t>
  </si>
  <si>
    <t>Vecsés Egészségügyéért Közhasznú Közlapítvány</t>
  </si>
  <si>
    <t>1.6.1.5.</t>
  </si>
  <si>
    <t>Vecsés Sportjáért Alapítvány</t>
  </si>
  <si>
    <t>1.6.1.6.</t>
  </si>
  <si>
    <t xml:space="preserve">Polgárőr Egyesület </t>
  </si>
  <si>
    <t>1.6.1.7.</t>
  </si>
  <si>
    <t>Vecsési Tájházért Alapítvány (13/2010. (I.26.)</t>
  </si>
  <si>
    <t>1.6.1.8</t>
  </si>
  <si>
    <t xml:space="preserve">Vecsés Közművelődéséért Alapítvány </t>
  </si>
  <si>
    <t>1.6.1.8.1</t>
  </si>
  <si>
    <t>Káposztafeszt</t>
  </si>
  <si>
    <t>1.6.1.8.2</t>
  </si>
  <si>
    <t>1.6.2.</t>
  </si>
  <si>
    <t>Társadalmi célú szervezetek</t>
  </si>
  <si>
    <t>1.6.2.1.</t>
  </si>
  <si>
    <t>Sport támogatás</t>
  </si>
  <si>
    <t>1.6.2.1.1</t>
  </si>
  <si>
    <t>1.6.2.1.2</t>
  </si>
  <si>
    <t xml:space="preserve"> - VSE támogatás</t>
  </si>
  <si>
    <t>1.6.2.1.3</t>
  </si>
  <si>
    <t xml:space="preserve"> - Egyéb támogatás</t>
  </si>
  <si>
    <t>1.6.2.2</t>
  </si>
  <si>
    <t>Német Nemzetiségi ÖK</t>
  </si>
  <si>
    <t>1.6.2.3</t>
  </si>
  <si>
    <t>1.6.2.4</t>
  </si>
  <si>
    <t>WTV Kép és Hangstúdíó</t>
  </si>
  <si>
    <t>1.6.2.5</t>
  </si>
  <si>
    <t>Vecsési Sportakadémia Kft.</t>
  </si>
  <si>
    <t>1.6.2.5.1</t>
  </si>
  <si>
    <t xml:space="preserve"> - ebből "Bozsik program"</t>
  </si>
  <si>
    <t>1.6.2.6</t>
  </si>
  <si>
    <t>Bálint Á.Iroda.és Értékőrző Al.</t>
  </si>
  <si>
    <t>1.6.2.7</t>
  </si>
  <si>
    <t>1.6.2.8</t>
  </si>
  <si>
    <t>Róder Imre Cserkészcsapat</t>
  </si>
  <si>
    <t>1.6.2.9</t>
  </si>
  <si>
    <t>83.sz. Attila Cserkészcsapat</t>
  </si>
  <si>
    <t>1.6.2.10</t>
  </si>
  <si>
    <t>Honismereti Kör</t>
  </si>
  <si>
    <t>1.6.2.11</t>
  </si>
  <si>
    <t>Vecsési Hagyományörző Zeneegyesület</t>
  </si>
  <si>
    <t>1.6.2.12</t>
  </si>
  <si>
    <t>II.sz.Nyugdíjas Klub</t>
  </si>
  <si>
    <t>1.6.2.13</t>
  </si>
  <si>
    <t>III.sz.Nyugdíjas Klub</t>
  </si>
  <si>
    <t>1.6.2.14</t>
  </si>
  <si>
    <t>Horváth Ákos Emléktorna</t>
  </si>
  <si>
    <t>1.6.2.15</t>
  </si>
  <si>
    <t>Concerto Harmonica</t>
  </si>
  <si>
    <t>1.6.2.16</t>
  </si>
  <si>
    <t>Rosmarein Táncegyesület</t>
  </si>
  <si>
    <t>1.6.2.17</t>
  </si>
  <si>
    <t>Labdarózsa Énekkar</t>
  </si>
  <si>
    <t>1.6.2.18</t>
  </si>
  <si>
    <t>Vecsési Borbarátok Egyesület</t>
  </si>
  <si>
    <t>1.6.2.19</t>
  </si>
  <si>
    <t>Lumpen-Klumpen Tánccsoport</t>
  </si>
  <si>
    <t>1.6.2.20</t>
  </si>
  <si>
    <t>Balla P. Népdalkör. H.E.</t>
  </si>
  <si>
    <t>1.6.2.21</t>
  </si>
  <si>
    <t>VNSZ</t>
  </si>
  <si>
    <t>1.6.2.22</t>
  </si>
  <si>
    <t>Mozgássérültek Bp-i E.Vecsési Szervezet</t>
  </si>
  <si>
    <t>1.6.2.23</t>
  </si>
  <si>
    <t>Megmaradunk 3000 Al.</t>
  </si>
  <si>
    <t>1.6.2.24</t>
  </si>
  <si>
    <t>Orbán Balázs Erdélyi Kör</t>
  </si>
  <si>
    <t>1.6.2.25</t>
  </si>
  <si>
    <t>Rohan Hobbilovas Sport Egyesület</t>
  </si>
  <si>
    <t>1.6.2.26</t>
  </si>
  <si>
    <t>M-i Német Ének-Zene Tánc. O.</t>
  </si>
  <si>
    <t>1.6.2.27</t>
  </si>
  <si>
    <t>VSE Kézilabda Szakosztály</t>
  </si>
  <si>
    <t>1.6.2.28</t>
  </si>
  <si>
    <t>Ruszin NÖK</t>
  </si>
  <si>
    <t>1.6.2.29</t>
  </si>
  <si>
    <t>Monori Rendőrkap.Vecsési Rendőrőrs</t>
  </si>
  <si>
    <t>1.6.3.</t>
  </si>
  <si>
    <t>Egyéb támogatások</t>
  </si>
  <si>
    <t>1.6.3.1.</t>
  </si>
  <si>
    <t>Egyház</t>
  </si>
  <si>
    <t>1.6.3.2.</t>
  </si>
  <si>
    <t>Ösztöndíjak</t>
  </si>
  <si>
    <t>1.6.3.2.1</t>
  </si>
  <si>
    <t xml:space="preserve"> - Bursa ösztöndíj</t>
  </si>
  <si>
    <t>1.6.3.2.2</t>
  </si>
  <si>
    <t xml:space="preserve"> - Önkormányzati ösztöndíj pályázat</t>
  </si>
  <si>
    <t>1.6.3.3</t>
  </si>
  <si>
    <t>1.6.3.4</t>
  </si>
  <si>
    <t>Kisegítő Iskola</t>
  </si>
  <si>
    <t>1.6.3.5</t>
  </si>
  <si>
    <t xml:space="preserve">Református Óvoda </t>
  </si>
  <si>
    <t>1.6.3.6.</t>
  </si>
  <si>
    <t>Vállalkozás fejlesztés támogatása</t>
  </si>
  <si>
    <t>1.6.3.7</t>
  </si>
  <si>
    <t>Rendőőrs Alkalmazott Bére</t>
  </si>
  <si>
    <t>1.6.3.8</t>
  </si>
  <si>
    <t>1.6.3.9</t>
  </si>
  <si>
    <t>Új évi Focitorna</t>
  </si>
  <si>
    <t>1.6.3.10</t>
  </si>
  <si>
    <t>Háztartásoknak átadott /otthonteremtési, Megel.gytartás/</t>
  </si>
  <si>
    <t>1.6.3.11</t>
  </si>
  <si>
    <t>Evangélikus Egyházközség</t>
  </si>
  <si>
    <t>1.6.3.12</t>
  </si>
  <si>
    <t>Ó-Plébánia</t>
  </si>
  <si>
    <t>1.6.3.13</t>
  </si>
  <si>
    <t>Vecsési Református Egyházközség</t>
  </si>
  <si>
    <t>1.6.3.15</t>
  </si>
  <si>
    <t>Irgalmas Jézus Róm.Kat. Plébánia</t>
  </si>
  <si>
    <t>1.6.4.</t>
  </si>
  <si>
    <t xml:space="preserve">Menetrendszerű közúti, helyi személyszállítás </t>
  </si>
  <si>
    <t>Önkormányzat által folyósított ellátások</t>
  </si>
  <si>
    <t>1.7.1</t>
  </si>
  <si>
    <t>Átmeneti segély</t>
  </si>
  <si>
    <t>1.7.2</t>
  </si>
  <si>
    <t>Temetési segély</t>
  </si>
  <si>
    <t>1.7.3</t>
  </si>
  <si>
    <t>Rendkívüli gyermekvédelmi támogatás (tankönyv, tábor )</t>
  </si>
  <si>
    <t>1.7.4</t>
  </si>
  <si>
    <t>Köztemetés</t>
  </si>
  <si>
    <t>Pénzforgalmi műk. célú ktgvet.-i kiadások összesen:</t>
  </si>
  <si>
    <t>1.8.1.</t>
  </si>
  <si>
    <t>Általános Tartalék</t>
  </si>
  <si>
    <t>1.8.2.</t>
  </si>
  <si>
    <t>Pénzforgalom nélküli működési kiadások összesen:</t>
  </si>
  <si>
    <t>Költségvetési működési kiadások:</t>
  </si>
  <si>
    <t>Értékpapírok vásárlása</t>
  </si>
  <si>
    <t>1.10.</t>
  </si>
  <si>
    <t>Működési célú hitel visszafizetése</t>
  </si>
  <si>
    <t>1.10.1</t>
  </si>
  <si>
    <t>FORD hitel törlesztés</t>
  </si>
  <si>
    <t>1.10.2</t>
  </si>
  <si>
    <t>Fénymásolók lízingdíja</t>
  </si>
  <si>
    <t>1.10.2.1</t>
  </si>
  <si>
    <t xml:space="preserve"> -I.</t>
  </si>
  <si>
    <t>1.10.3</t>
  </si>
  <si>
    <t>Társulati hitel törlesztés</t>
  </si>
  <si>
    <t>1.10.4.</t>
  </si>
  <si>
    <t>Munkabérhitel törlesztés</t>
  </si>
  <si>
    <t>1.10.5.</t>
  </si>
  <si>
    <t>Folyószámlahitel törlesztése</t>
  </si>
  <si>
    <t>Finanszírozási működési kiadások összesen:</t>
  </si>
  <si>
    <t>I. MŰKÖDÉSI KIADÁSOK ÖSSZESEN:</t>
  </si>
  <si>
    <t>II. FELHALMOZÁSI CÉLÚ KIADÁSOK</t>
  </si>
  <si>
    <t>Felújítási kiadások</t>
  </si>
  <si>
    <t>Részvények,részesedések vásárlása</t>
  </si>
  <si>
    <t>Végleges pénzeszközátadás Áh kivülre</t>
  </si>
  <si>
    <t>2.5.1</t>
  </si>
  <si>
    <t xml:space="preserve">Egyéb pe. átadás háztartásoknak </t>
  </si>
  <si>
    <t>2.5.2.</t>
  </si>
  <si>
    <t>Kölcsönnyújtás</t>
  </si>
  <si>
    <t>Óvadék</t>
  </si>
  <si>
    <t>Fejlesztési célhitel kamatai</t>
  </si>
  <si>
    <t xml:space="preserve">300 milliós értékpapír kibocsátás után fizetendő kamat               </t>
  </si>
  <si>
    <t xml:space="preserve">700 millió értékpapír kibocsátás után fizetendő kamat                   </t>
  </si>
  <si>
    <t>Sportpálya korszerűsítés MFB hitel kamata</t>
  </si>
  <si>
    <t>200 milliós MFB hitel kamata (2010. évben felvett)</t>
  </si>
  <si>
    <t>500 milliós MFB hitel kamata (2011. évben felvett)</t>
  </si>
  <si>
    <t>Pénzforgalmi felhalm.célú költségvetési kiadások:</t>
  </si>
  <si>
    <t>2.9.</t>
  </si>
  <si>
    <t>2.9.1.</t>
  </si>
  <si>
    <t>2.9.2.</t>
  </si>
  <si>
    <t>Fejlesztési céltartalék</t>
  </si>
  <si>
    <t>Pénzforgalom nélküli felhalmozási kiadások összesen:</t>
  </si>
  <si>
    <t>Költségvetési felhalmozási kiadások:</t>
  </si>
  <si>
    <t>2.10.</t>
  </si>
  <si>
    <t>Felhalmozási célú hitel visszafizetése</t>
  </si>
  <si>
    <t>2.10.1.</t>
  </si>
  <si>
    <t>Fejlesztési célhitel törlesztés</t>
  </si>
  <si>
    <t>2.10.1.1</t>
  </si>
  <si>
    <t>2.10.1.2</t>
  </si>
  <si>
    <t>Sportpálya korszerűsítés MFB hitel</t>
  </si>
  <si>
    <t>2.10.1.3</t>
  </si>
  <si>
    <t>2.10.1.4</t>
  </si>
  <si>
    <t xml:space="preserve">Kötvény törlesztés 700 millió </t>
  </si>
  <si>
    <t>200 milliós MFB fejlesztési hitel</t>
  </si>
  <si>
    <t>500 milliós MFB fejlesztési hitel</t>
  </si>
  <si>
    <t>Finanszírozási felhalmozási kiadások összesen:</t>
  </si>
  <si>
    <t>II. FELHALMOZÁSI KIADÁSOK ÖSSZESEN:</t>
  </si>
  <si>
    <t>Önkormányzati feladat szakfeladatonként</t>
  </si>
  <si>
    <t>Városgazdálkodás ( 841403 )</t>
  </si>
  <si>
    <t>2.1.1</t>
  </si>
  <si>
    <t>2.1.2</t>
  </si>
  <si>
    <t>2.1.3</t>
  </si>
  <si>
    <t>Létszám fő</t>
  </si>
  <si>
    <t>Közvilágítás ( 841402 )</t>
  </si>
  <si>
    <t>Települési hulladék kezelés, köztisztasági tevékenység (902113)</t>
  </si>
  <si>
    <t>2.3.2.</t>
  </si>
  <si>
    <t>2.3.3.</t>
  </si>
  <si>
    <t>Közcélú foglalkoztatás ( 890441 )</t>
  </si>
  <si>
    <t>2.3.1</t>
  </si>
  <si>
    <t>2.3.2</t>
  </si>
  <si>
    <t>2.3.3</t>
  </si>
  <si>
    <t>Sportlétesítmények ( Sportpálya)</t>
  </si>
  <si>
    <t>2.4.1</t>
  </si>
  <si>
    <t>2.4.2</t>
  </si>
  <si>
    <t>2.4.3</t>
  </si>
  <si>
    <t>Lakóingatlan bérbeadása (682001 )üzemeltetése</t>
  </si>
  <si>
    <t>Nem lakóingatlan bérbeadása ( 682002 ) üzemelt.</t>
  </si>
  <si>
    <t>2.6.1</t>
  </si>
  <si>
    <t>Utak üzemeltetése ( 552110 )</t>
  </si>
  <si>
    <t>2.7.1</t>
  </si>
  <si>
    <t>Szennyvízelvezetés és kezelés ( 901116)</t>
  </si>
  <si>
    <t>2.5.1.</t>
  </si>
  <si>
    <t>Kisegítő mezőgazdasági tevékenység ( 014034)</t>
  </si>
  <si>
    <t>2.6.1.</t>
  </si>
  <si>
    <t>2.6.2</t>
  </si>
  <si>
    <t>2.6.3.</t>
  </si>
  <si>
    <t>2.6.4.</t>
  </si>
  <si>
    <t>Zöldterület kezelés ( 813000 )</t>
  </si>
  <si>
    <t>2.8.1</t>
  </si>
  <si>
    <t>Egyéb oktatási célok feladatok                                                                    (Kisegítő Iskolások 856099)</t>
  </si>
  <si>
    <t>2.9.1</t>
  </si>
  <si>
    <t>2.9.2</t>
  </si>
  <si>
    <t>2.9.3</t>
  </si>
  <si>
    <t>Utak építése ( 422110 )</t>
  </si>
  <si>
    <t xml:space="preserve">Menetrendszerű közúti, helyi személyszállítás (602147) </t>
  </si>
  <si>
    <t>Önkormányzati feladat szakfeladatonként Összesítés</t>
  </si>
  <si>
    <t>Kiegyenlítő, függő, átfutó kiadások</t>
  </si>
  <si>
    <t>KIADÁS ÖSSZESEN</t>
  </si>
  <si>
    <t>Intézményi felhalmozásból származó halmozódás kiszűrése:</t>
  </si>
  <si>
    <t>ÖNKORMÁNYZAT KIADÁSAI ÖSSZESEN:</t>
  </si>
  <si>
    <t>4. sz. melléklet</t>
  </si>
  <si>
    <t>Költségvetési szerv megnevezése</t>
  </si>
  <si>
    <t>Polgármesteri Hivatal</t>
  </si>
  <si>
    <t>I. Intézményi működési bevételek (1.1.+…+1.8.)</t>
  </si>
  <si>
    <t>II. Véglegesen átvett pénzeszközök (2.1.+…+2.4.)</t>
  </si>
  <si>
    <t>Támogatásértékű működési bevételek</t>
  </si>
  <si>
    <t>Támogatásértékű felhalmozási bevételek</t>
  </si>
  <si>
    <t>EU-s forrásból származó bevételek</t>
  </si>
  <si>
    <t>Működési célú pénzeszközátvétel</t>
  </si>
  <si>
    <t>III. Felhalmozási célú egyéb bevételek</t>
  </si>
  <si>
    <t>IV. Közhatalmi bevételek</t>
  </si>
  <si>
    <t>V. Kölcsön</t>
  </si>
  <si>
    <t>VI. Pénzmaradvány, vállalk. tev. maradványa (6.1.+6.2.)</t>
  </si>
  <si>
    <t>Előző évi pénzmaradvány igénybevétele</t>
  </si>
  <si>
    <t>Előző évi vállalkozási maradvány igénybevétele</t>
  </si>
  <si>
    <t>VIII. Függő, átfutó, kiegyenlítő bevételek</t>
  </si>
  <si>
    <t>BEVÉTELEK ÖSSZESEN (1+2+3+4+5+6+7)</t>
  </si>
  <si>
    <t>1.5.1.</t>
  </si>
  <si>
    <t>Mük.célú pénzeszköz átadás Áh kivülre</t>
  </si>
  <si>
    <t>1.5.2.</t>
  </si>
  <si>
    <r>
      <t xml:space="preserve">II. Felhalmozási költségvetés kiadásai </t>
    </r>
    <r>
      <rPr>
        <sz val="8"/>
        <rFont val="Times New Roman CE"/>
        <family val="1"/>
        <charset val="238"/>
      </rPr>
      <t>(2.1+…+2.4)</t>
    </r>
  </si>
  <si>
    <t>Intézményi beruházási kiadások</t>
  </si>
  <si>
    <t>Egyéb fejlesztési célú kiadások</t>
  </si>
  <si>
    <t>III. Kölcsön</t>
  </si>
  <si>
    <t>IV. Függő,átfutó,kiegyenlítő kiadások</t>
  </si>
  <si>
    <t>KIADÁSOK ÖSSZESEN: (1+2+3)</t>
  </si>
  <si>
    <t>4.1. sz. melléklet</t>
  </si>
  <si>
    <t>Igazgatási feladatok</t>
  </si>
  <si>
    <r>
      <t xml:space="preserve">II. Felhalmozási költségvetés kiadásai </t>
    </r>
    <r>
      <rPr>
        <sz val="11"/>
        <rFont val="Times New Roman CE"/>
        <family val="1"/>
        <charset val="238"/>
      </rPr>
      <t>(2.1+…+2.4)</t>
    </r>
  </si>
  <si>
    <t>4.2. sz. melléklet</t>
  </si>
  <si>
    <t>Szociális gondoskodás</t>
  </si>
  <si>
    <r>
      <t xml:space="preserve">I. Működési költségvetés kiadásai </t>
    </r>
    <r>
      <rPr>
        <sz val="12"/>
        <rFont val="Times New Roman CE"/>
        <family val="1"/>
        <charset val="238"/>
      </rPr>
      <t>(1.1+…+1.5.)</t>
    </r>
  </si>
  <si>
    <r>
      <t xml:space="preserve">II. Felhalmozási költségvetés kiadásai </t>
    </r>
    <r>
      <rPr>
        <sz val="12"/>
        <rFont val="Times New Roman CE"/>
        <family val="1"/>
        <charset val="238"/>
      </rPr>
      <t>(2.1+…+2.4)</t>
    </r>
  </si>
  <si>
    <t>4.3. sz. melléklet</t>
  </si>
  <si>
    <t>Jogalkotás</t>
  </si>
  <si>
    <t>4.4 sz. melléklet</t>
  </si>
  <si>
    <t>Művelődés, sport</t>
  </si>
  <si>
    <t>4.5. sz. melléklet</t>
  </si>
  <si>
    <t>Vagyongazdálkodás</t>
  </si>
  <si>
    <t>4.6. sz. melléklet</t>
  </si>
  <si>
    <t>Adó</t>
  </si>
  <si>
    <t>4.7. sz. melléklet</t>
  </si>
  <si>
    <t>Közterület rendjének fenntartása</t>
  </si>
  <si>
    <t>4.8. sz. melléklet</t>
  </si>
  <si>
    <t>5. sz. melléklet</t>
  </si>
  <si>
    <t>Vecsés Város Önkormányzat Intézményei összesen</t>
  </si>
  <si>
    <t>ebből: nemzetiségi</t>
  </si>
  <si>
    <t>2.1.4.</t>
  </si>
  <si>
    <t>2.2.1</t>
  </si>
  <si>
    <t>II. Átvett pénzeszközök (2.1.+…+2.4.)</t>
  </si>
  <si>
    <t>3.2</t>
  </si>
  <si>
    <t>IV. Kölcsön</t>
  </si>
  <si>
    <t>V. Pénzmaradvány, vállalk. tev. maradványa (5.1.+5.2.)</t>
  </si>
  <si>
    <t>VI. Önkormányzati támogatás</t>
  </si>
  <si>
    <t>VII. Függő, átfutó, kiegyenlítő bevételek</t>
  </si>
  <si>
    <t>BEVÉTELEK ÖSSZESEN (1+2+3+4+5+6)</t>
  </si>
  <si>
    <t>Ebből nemzetiség</t>
  </si>
  <si>
    <t>5.1. sz. melléklet</t>
  </si>
  <si>
    <t>Petőfi Sándor Általános Iskola és Gimnázium</t>
  </si>
  <si>
    <t>Általános iskolai oktatás</t>
  </si>
  <si>
    <t>5.2. sz. melléklet</t>
  </si>
  <si>
    <t>Középfokú oktatás</t>
  </si>
  <si>
    <t>Teljesités</t>
  </si>
  <si>
    <t>5.3. sz. melléklet</t>
  </si>
  <si>
    <t>Grassalkovich Antal Német Nemzetiségi és Kétnyelvű Álatlános Iskola</t>
  </si>
  <si>
    <t>5.4. sz. melléklet</t>
  </si>
  <si>
    <t>Gróf Andrássy Gyula Általános Iskola</t>
  </si>
  <si>
    <t>5.5. sz. melléklet</t>
  </si>
  <si>
    <t>Halmi Telepi Általános Iskola</t>
  </si>
  <si>
    <t>5.6. sz. melléklet</t>
  </si>
  <si>
    <t>Vecsési Zeneiskola</t>
  </si>
  <si>
    <t>Művészeti oktatás</t>
  </si>
  <si>
    <t>Falusi Nemzetiségi Óvoda</t>
  </si>
  <si>
    <t>Óvodai nevelés</t>
  </si>
  <si>
    <t>5.8. sz. melléklet</t>
  </si>
  <si>
    <t>Mosolyország Óvoda</t>
  </si>
  <si>
    <t>Bálint Ágnes Óvoda</t>
  </si>
  <si>
    <t>5.10. sz. melléklet</t>
  </si>
  <si>
    <t>Tündérkert Óvoda</t>
  </si>
  <si>
    <t>Oktatási Intézmények Központi Konyhája</t>
  </si>
  <si>
    <t>Közétkeztetés</t>
  </si>
  <si>
    <t>Semmelweis Bőlcsöde</t>
  </si>
  <si>
    <t>József Attila Művelődési Ház</t>
  </si>
  <si>
    <t>Közművelődés</t>
  </si>
  <si>
    <t>Róder Imre Városi Könyvtár</t>
  </si>
  <si>
    <t>Könyvtári szolgáltatás</t>
  </si>
  <si>
    <t>Családsegítő és Gyermekjóléti Szolgálat</t>
  </si>
  <si>
    <t>Család-, és gyermekvédelem</t>
  </si>
  <si>
    <t>Önállóan működő intézmények neve</t>
  </si>
  <si>
    <t>XV.</t>
  </si>
  <si>
    <t>Családsegítő- és Gyermekjóléti Szolgálat</t>
  </si>
  <si>
    <t>Családsegítő Szolgálat</t>
  </si>
  <si>
    <t>Intézmények működési bevételei</t>
  </si>
  <si>
    <t>Felhalmozási és tőke jellegű bevételek /Tárgyi eszk. ért./</t>
  </si>
  <si>
    <t>Költségvetési támogatás</t>
  </si>
  <si>
    <t xml:space="preserve">      - Működési támogatás</t>
  </si>
  <si>
    <t>1.3.1.1.</t>
  </si>
  <si>
    <t xml:space="preserve"> Állami normatíva      </t>
  </si>
  <si>
    <t>1.3.1.1.1.</t>
  </si>
  <si>
    <t>Vecsés</t>
  </si>
  <si>
    <t>1.3.1.1.2.</t>
  </si>
  <si>
    <t xml:space="preserve">Ecser </t>
  </si>
  <si>
    <t>1.3.1.1.3.</t>
  </si>
  <si>
    <t>Gyömrő</t>
  </si>
  <si>
    <t>1.3.1.1.4.</t>
  </si>
  <si>
    <t>Maglód</t>
  </si>
  <si>
    <t>1.3.1.2.</t>
  </si>
  <si>
    <t>Kiegészítő normatíva</t>
  </si>
  <si>
    <t>1.3.1.2.1.</t>
  </si>
  <si>
    <t>1.3.1.2.2.</t>
  </si>
  <si>
    <t>1.3.1.2.3.</t>
  </si>
  <si>
    <t>1.3.1.2.4.</t>
  </si>
  <si>
    <t>1.3.1.3.</t>
  </si>
  <si>
    <t>Önkormányzati támogatás</t>
  </si>
  <si>
    <t>1.3.1.3.1.</t>
  </si>
  <si>
    <t>Bevételek összesen:</t>
  </si>
  <si>
    <t>2.2.2.</t>
  </si>
  <si>
    <t>2.2.3.</t>
  </si>
  <si>
    <t>2.2.4.</t>
  </si>
  <si>
    <t>2.3.4.</t>
  </si>
  <si>
    <t>Társönkormányzatoknak átadott pénzeszközök</t>
  </si>
  <si>
    <t>2.4.2.</t>
  </si>
  <si>
    <t>2.4.3.</t>
  </si>
  <si>
    <t>Felújítás</t>
  </si>
  <si>
    <t>Beruházás</t>
  </si>
  <si>
    <t>Egyéb kiadás</t>
  </si>
  <si>
    <t>Kiadások összesen:</t>
  </si>
  <si>
    <t>Létszámkeret  fő</t>
  </si>
  <si>
    <t>Gyermekjóléti Szolgálat</t>
  </si>
  <si>
    <t>Felhalmozási támogatás</t>
  </si>
  <si>
    <t>1.4.3.</t>
  </si>
  <si>
    <t>Gondozási Központ</t>
  </si>
  <si>
    <t>Idősek ellátása</t>
  </si>
  <si>
    <t>Idősek nappali ellátása</t>
  </si>
  <si>
    <t>Gondozási díj</t>
  </si>
  <si>
    <t>1.1.2</t>
  </si>
  <si>
    <t>Szállítás</t>
  </si>
  <si>
    <t>1.1.3</t>
  </si>
  <si>
    <t>1.1.4</t>
  </si>
  <si>
    <t>Egyéb bevételek (fénymásolás, gép ber.értékesítés)</t>
  </si>
  <si>
    <t>1.1.5</t>
  </si>
  <si>
    <t>ÁFA</t>
  </si>
  <si>
    <t>Mükődési célú pe.átv.EU-tól</t>
  </si>
  <si>
    <t>Ecser</t>
  </si>
  <si>
    <t>1.4</t>
  </si>
  <si>
    <t xml:space="preserve">Létszámkeret fő </t>
  </si>
  <si>
    <t>Házi segítségnyújtás</t>
  </si>
  <si>
    <t>Felhalmozási és tőke jellegű bevételek /Tárgyi eszk.ért./</t>
  </si>
  <si>
    <t xml:space="preserve">            Állami normatíva / Gyömrő hívja le /  </t>
  </si>
  <si>
    <t>Vecsés (Gyömrőnél tervezre)</t>
  </si>
  <si>
    <t>Jelzőrendszeres házi segítségnyújtás</t>
  </si>
  <si>
    <t xml:space="preserve">            Pályázati támogatás / Gyömrő hívja le /   </t>
  </si>
  <si>
    <t>1.3.1.3.2.</t>
  </si>
  <si>
    <t>Társönkormányzatoknak átadott  pénzeszközök</t>
  </si>
  <si>
    <t>Gyömrő Városnál jelenik meg</t>
  </si>
  <si>
    <t xml:space="preserve">Házi segítségnyújtás </t>
  </si>
  <si>
    <t xml:space="preserve">Kiegészítő normatíva / Gyömrő hívja le /   </t>
  </si>
  <si>
    <t>Társönkormányzatoknak átadott</t>
  </si>
  <si>
    <t>Vecsés (Gyömrőnél tervezve)</t>
  </si>
  <si>
    <t>Társuláson kívül önállóan működtetett szakfeladat</t>
  </si>
  <si>
    <t>Szociális étkeztetés</t>
  </si>
  <si>
    <t xml:space="preserve">            Állami normatíva   </t>
  </si>
  <si>
    <t>Vecsési Egészségügyi Szolgálat</t>
  </si>
  <si>
    <t>Egészségügyi szolgáltatás</t>
  </si>
  <si>
    <t>Önállóan működő és  gazdálkodó intézmény neve</t>
  </si>
  <si>
    <t>2007.évi eredeti előirányzat</t>
  </si>
  <si>
    <t>2008.évi eredeti előirányzat</t>
  </si>
  <si>
    <t>2008.09.30. módosított előirányzat</t>
  </si>
  <si>
    <t>2009. évi tervezett előirányzat</t>
  </si>
  <si>
    <t>2012.évi Terv</t>
  </si>
  <si>
    <t>I.</t>
  </si>
  <si>
    <t>Járóbetegek gyógyító szakellátása  862211</t>
  </si>
  <si>
    <t>Alaptevékenységi bevétel (vizitdíj)</t>
  </si>
  <si>
    <t>Végleges pe.átvétel Áh.kivülről /Non-profit szervtől/</t>
  </si>
  <si>
    <t xml:space="preserve">            Állami normatíva   (OEP támogatás)   </t>
  </si>
  <si>
    <t xml:space="preserve">            Önkormányzati támogatás</t>
  </si>
  <si>
    <t xml:space="preserve">       - Felhalmozási támogatás</t>
  </si>
  <si>
    <t>Egyéb finanszirozási bevétel</t>
  </si>
  <si>
    <t>Egyéb finanszirozási kiadás</t>
  </si>
  <si>
    <t>Háziorvosi ügyeleti ellátás szolgálat 862102</t>
  </si>
  <si>
    <t xml:space="preserve">            Állami normatíva    (OEP támogatás)  </t>
  </si>
  <si>
    <t>Fogorvosi alapellátás 862301</t>
  </si>
  <si>
    <t>1.1.1</t>
  </si>
  <si>
    <t>Bérleti díj/egyéb bevétel</t>
  </si>
  <si>
    <t xml:space="preserve">            Állami normatíva  (OEP támogatás)    </t>
  </si>
  <si>
    <t>Ifjúság-egészségügyi gondozás 869042</t>
  </si>
  <si>
    <t>Család- és nővédelmi egészségügyi gondozás 869041</t>
  </si>
  <si>
    <t>Egészségügyi szolgálat összesítő</t>
  </si>
  <si>
    <t>eredeti</t>
  </si>
  <si>
    <t>2009. eredeti</t>
  </si>
  <si>
    <t>2010.eredeti EI</t>
  </si>
  <si>
    <t xml:space="preserve">2011. eredeti EI </t>
  </si>
  <si>
    <t>2011.mód.EI</t>
  </si>
  <si>
    <t>2012.Mód.EI</t>
  </si>
  <si>
    <t>2012.Teljesítés</t>
  </si>
  <si>
    <t>Tárgyi eszk.értékesítés</t>
  </si>
  <si>
    <t xml:space="preserve">            Támogatás értékű bevételek OEP</t>
  </si>
  <si>
    <t>Háziorvosi alapellátás 862101</t>
  </si>
  <si>
    <t>Társönkormányzatnak átadott pénzeszköz</t>
  </si>
  <si>
    <t>Felh.c.Pe.átvétel /Alapítványi támogatás/</t>
  </si>
  <si>
    <t>LÉTSZÁM   fő</t>
  </si>
  <si>
    <t>Egy napos sebészeti ellátás 862220</t>
  </si>
  <si>
    <t>Foglalkozás-egészségügyi alapellátás 862231</t>
  </si>
  <si>
    <t>Vecsési Egészségügyi Szolgálat                                             bevétel összesen</t>
  </si>
  <si>
    <t>Vecsési Egészségügyi Szolgálat                                             kiadás összesen</t>
  </si>
  <si>
    <t>Létszámkeret (fő) összesen:</t>
  </si>
  <si>
    <t>Beruházás  megnevezése</t>
  </si>
  <si>
    <t>Teljes költség</t>
  </si>
  <si>
    <t>Kivitelezés kezdési és befejezési éve</t>
  </si>
  <si>
    <t>6=(2-4-5)</t>
  </si>
  <si>
    <t>VÁROSI FELÚJÍTÁSOK</t>
  </si>
  <si>
    <t>1.1</t>
  </si>
  <si>
    <t>Város utca útkorszerűsítése</t>
  </si>
  <si>
    <t>1.2</t>
  </si>
  <si>
    <t>Zöldfa u. -Kereszt u. - Róder I u. felújítása</t>
  </si>
  <si>
    <t>1.3</t>
  </si>
  <si>
    <t>Vörösmarty utca felújítása Károly utca - tornaterem közötti rész</t>
  </si>
  <si>
    <t>Toldy F. utca felújítása</t>
  </si>
  <si>
    <t>Bajcsy-Zs. út felújítása</t>
  </si>
  <si>
    <t>Kinizsi utca: korszerűsítés</t>
  </si>
  <si>
    <t>1.7</t>
  </si>
  <si>
    <t>1.8</t>
  </si>
  <si>
    <t>1.9</t>
  </si>
  <si>
    <t>1.10</t>
  </si>
  <si>
    <t>1.11</t>
  </si>
  <si>
    <t xml:space="preserve">Temető kerítés felújítás </t>
  </si>
  <si>
    <t>1.12</t>
  </si>
  <si>
    <t>1.13</t>
  </si>
  <si>
    <t>ÖSSZESEN:</t>
  </si>
  <si>
    <t>Felújítás  megnevezése</t>
  </si>
  <si>
    <t>VÁROSI FEJLESZTÉSEK</t>
  </si>
  <si>
    <t>Egyéb fejlesztések</t>
  </si>
  <si>
    <t>Epres: szobor elhelyezése</t>
  </si>
  <si>
    <t>Ügyességi pálya tervezése, kialakítása</t>
  </si>
  <si>
    <t>Telepi u.44. Családsegítő és Gyermekjóléti Szolgálat tervezése</t>
  </si>
  <si>
    <t>Térfigyelő rendszer bővítése</t>
  </si>
  <si>
    <t>Hulladékudvar kialakítása</t>
  </si>
  <si>
    <t>Temetőben emlékhelyek kialakítása</t>
  </si>
  <si>
    <t>1.14</t>
  </si>
  <si>
    <t>Temetőben közvilágítás kiépítése</t>
  </si>
  <si>
    <t>1.15</t>
  </si>
  <si>
    <t>Utólagos csatornabekötések</t>
  </si>
  <si>
    <t>1.16</t>
  </si>
  <si>
    <t>1.17</t>
  </si>
  <si>
    <t>1.18</t>
  </si>
  <si>
    <t>1.19</t>
  </si>
  <si>
    <t>Alig utca - Felsőhalom u. szennyvízcsatorna kiépítési költségeinek hozzájárulása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</si>
  <si>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</si>
  <si>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</si>
  <si>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</si>
  <si>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</si>
  <si>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</si>
  <si>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</si>
  <si>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</si>
  <si>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</si>
  <si>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</si>
  <si>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Útépítések, közutak, járdák</t>
  </si>
  <si>
    <t>Úttervezések készítése</t>
  </si>
  <si>
    <t>Hunyadi utca: aszfaltozás</t>
  </si>
  <si>
    <t>2.8</t>
  </si>
  <si>
    <t>Gárdonyi utca aszfaltozási munkái</t>
  </si>
  <si>
    <t>2.9</t>
  </si>
  <si>
    <t>2.10</t>
  </si>
  <si>
    <t>2.11</t>
  </si>
  <si>
    <t>Kispatak lakópark játszótér előtti járda kivitelezése</t>
  </si>
  <si>
    <t>2.12</t>
  </si>
  <si>
    <t>2.13</t>
  </si>
  <si>
    <t>2.14</t>
  </si>
  <si>
    <t>2.15</t>
  </si>
  <si>
    <t>Telepi úti járda viacolor burkolása (Anna utcai kanyartól - Fő útig)</t>
  </si>
  <si>
    <t>2.16</t>
  </si>
  <si>
    <t>Telepi út járda viacolor burkolása (Károly utcától-játszótérig)</t>
  </si>
  <si>
    <t>2.17</t>
  </si>
  <si>
    <t>2.18</t>
  </si>
  <si>
    <t>2.19</t>
  </si>
  <si>
    <t>2.20</t>
  </si>
  <si>
    <t>Járdaépítéshez térkő biztosítása</t>
  </si>
  <si>
    <t>2.21</t>
  </si>
  <si>
    <t>2.22</t>
  </si>
  <si>
    <t>2.23</t>
  </si>
  <si>
    <t>2.24</t>
  </si>
  <si>
    <t>Halmi Téri iskola körüli parkoló (kivitelezés)</t>
  </si>
  <si>
    <t>2.25</t>
  </si>
  <si>
    <t>2.26</t>
  </si>
  <si>
    <t>2.27</t>
  </si>
  <si>
    <t>2.28</t>
  </si>
  <si>
    <t>2.29</t>
  </si>
  <si>
    <t>Csapadékvíz elvezetési munkálatok</t>
  </si>
  <si>
    <t>3.1</t>
  </si>
  <si>
    <t>Lőrinci út: átereszek építése, árok kialakítása</t>
  </si>
  <si>
    <t>3.3</t>
  </si>
  <si>
    <t>P+R parkoló árokburkolás (Lőrinci út)</t>
  </si>
  <si>
    <t>3.4</t>
  </si>
  <si>
    <t>P+R parkoló árokburkolás (belső parkoló)</t>
  </si>
  <si>
    <t>3.5</t>
  </si>
  <si>
    <t>3.6</t>
  </si>
  <si>
    <t>Intézmények, önkormányzati ingatlanok</t>
  </si>
  <si>
    <t>Bálint Ágnes Óvoda engedélyezési, kivitelezési terv</t>
  </si>
  <si>
    <t>Gondozási központ akadálymentesítése 118/2011 (V.24.)</t>
  </si>
  <si>
    <t>4.4</t>
  </si>
  <si>
    <t>4.5</t>
  </si>
  <si>
    <t>4.6</t>
  </si>
  <si>
    <t>INTÉZMÉNYI BERUHÁZÁSOK</t>
  </si>
  <si>
    <t>5.1</t>
  </si>
  <si>
    <t>Polgármesteri  Hivatal tetőfedés csere</t>
  </si>
  <si>
    <t>5.2</t>
  </si>
  <si>
    <t>Polgármesteri  Hivatal külső nyílászáróinak cseréje</t>
  </si>
  <si>
    <t>5.3</t>
  </si>
  <si>
    <t>Polgármesteri Hivatal fűtésrendszer korszerűsítése</t>
  </si>
  <si>
    <t>5.4</t>
  </si>
  <si>
    <t>Polgármesteri Hivatal telefonközpont felújítása</t>
  </si>
  <si>
    <t>5.5</t>
  </si>
  <si>
    <t>5.6</t>
  </si>
  <si>
    <t>Polgármesteri Hivatal udvarának parkosítása</t>
  </si>
  <si>
    <t>5.7</t>
  </si>
  <si>
    <t>Polgármesteri Hivatal külső kerítés felújítás</t>
  </si>
  <si>
    <t>5.8</t>
  </si>
  <si>
    <t>9.1</t>
  </si>
  <si>
    <t>9.2</t>
  </si>
  <si>
    <t>10.1</t>
  </si>
  <si>
    <t>11.1</t>
  </si>
  <si>
    <t>11.2</t>
  </si>
  <si>
    <t>12.1</t>
  </si>
  <si>
    <t>13.1</t>
  </si>
  <si>
    <t>2005.évi eredeti előirányzat</t>
  </si>
  <si>
    <t>2007. évi tervezett előirányzat</t>
  </si>
  <si>
    <t>2008. évi tervezett előirányzat</t>
  </si>
  <si>
    <t>Pályázati céltartalék</t>
  </si>
  <si>
    <t>Pályázatok benyújtásához céltartalék</t>
  </si>
  <si>
    <t>JAM Ház pályázatai:</t>
  </si>
  <si>
    <t xml:space="preserve">     Érdekeltségnövelő pályázat</t>
  </si>
  <si>
    <t>1.1.1.2.</t>
  </si>
  <si>
    <t>TÁMOP pályázatok 1. és 2. kör</t>
  </si>
  <si>
    <t>1.1.1.3.</t>
  </si>
  <si>
    <t xml:space="preserve">     NKA alkotótábor + nomád tábor</t>
  </si>
  <si>
    <t>1.1.1.4.</t>
  </si>
  <si>
    <t xml:space="preserve">     Egyéb pályázatok</t>
  </si>
  <si>
    <t>1.1.6.</t>
  </si>
  <si>
    <t>1.1.7.</t>
  </si>
  <si>
    <t>1.3.3.9.</t>
  </si>
  <si>
    <t xml:space="preserve"> - GYSIM Mobilitas - Alkotótábor</t>
  </si>
  <si>
    <t xml:space="preserve"> - NKA: Alkotütábor</t>
  </si>
  <si>
    <t>- NKA: Szakmai tev., művészeti találkozók támogatása</t>
  </si>
  <si>
    <t xml:space="preserve">- NKA: Szamai előadássorozat </t>
  </si>
  <si>
    <t>-GYISM: Alkotótábor</t>
  </si>
  <si>
    <t>1.1.1.5.</t>
  </si>
  <si>
    <t>- Pest Megye Önk.: Alkotoótábor</t>
  </si>
  <si>
    <t>1.1.1.6.</t>
  </si>
  <si>
    <t>- Érdekeltségnövelő pályázat</t>
  </si>
  <si>
    <t>1.1.1.7.</t>
  </si>
  <si>
    <t>- NKA: Művészetek kisközösségének támogatása</t>
  </si>
  <si>
    <r>
      <t xml:space="preserve">Közterületen elhagyott hulladék begyűjtésére pályázathoz önrész biztosítása </t>
    </r>
    <r>
      <rPr>
        <i/>
        <sz val="8"/>
        <rFont val="Times New Roman"/>
        <family val="1"/>
        <charset val="238"/>
      </rPr>
      <t>(10/2006. Ök. hat.)</t>
    </r>
  </si>
  <si>
    <t>Vállalkozás fejl.pályázati önrész</t>
  </si>
  <si>
    <t xml:space="preserve">Oktatási céltartalék </t>
  </si>
  <si>
    <t>2.2.2</t>
  </si>
  <si>
    <t>2.2.3</t>
  </si>
  <si>
    <t>2.2.4</t>
  </si>
  <si>
    <t>2.2.5</t>
  </si>
  <si>
    <t>Tábori pályázatok</t>
  </si>
  <si>
    <t>Egyéb (néptánc, kult.kiadv., sport, egyéb)</t>
  </si>
  <si>
    <t>Néptánc, színjátszás</t>
  </si>
  <si>
    <t>Sportutánpótlás</t>
  </si>
  <si>
    <t>Reprezentációs anyag</t>
  </si>
  <si>
    <t>Kulturális kiadványok</t>
  </si>
  <si>
    <t>Ünnepségek, rendezvények</t>
  </si>
  <si>
    <t>Nevelési tanácsadó</t>
  </si>
  <si>
    <t>Szakértői díj</t>
  </si>
  <si>
    <t>Tartalék</t>
  </si>
  <si>
    <t>Egyéb céltartalék</t>
  </si>
  <si>
    <t>Családsegítő nyári tábor</t>
  </si>
  <si>
    <t>Oktatási Bizottság kerete</t>
  </si>
  <si>
    <t>Sport Bizottság kerete</t>
  </si>
  <si>
    <t>Iskolák közötti sportvereseny</t>
  </si>
  <si>
    <t>Mezőgazdasági céltartalék</t>
  </si>
  <si>
    <t>3.7</t>
  </si>
  <si>
    <t>Felmentések, végkielégítések egyéb tartalék</t>
  </si>
  <si>
    <t>3.8</t>
  </si>
  <si>
    <t>Közbeszerzési eljárások lefolytatása ( eljárási díjak, dokumentációk, hirdetménydíjak)</t>
  </si>
  <si>
    <t>3.9</t>
  </si>
  <si>
    <t>Rendezetlen ingatlanok kényszerrendbetétele</t>
  </si>
  <si>
    <t>3.11</t>
  </si>
  <si>
    <t>Környezetvédelmi keret</t>
  </si>
  <si>
    <t>Környezetvédelem</t>
  </si>
  <si>
    <t>Parlagfű elleni védekezés</t>
  </si>
  <si>
    <t>Külterületen elszórt hulladékok összegyűjtése</t>
  </si>
  <si>
    <t>3.12</t>
  </si>
  <si>
    <t>3.13</t>
  </si>
  <si>
    <t>Testvérvárosi kapcsolatok</t>
  </si>
  <si>
    <t>3.14</t>
  </si>
  <si>
    <t>Rendezvények támogatása</t>
  </si>
  <si>
    <t>Vers és prózamondó verseny</t>
  </si>
  <si>
    <t>Lóti-Futi futóverseny</t>
  </si>
  <si>
    <t>Június 14. újratelepítési ünnep</t>
  </si>
  <si>
    <t>Augusztus 20.</t>
  </si>
  <si>
    <t>Október 06.</t>
  </si>
  <si>
    <t>Október 23.</t>
  </si>
  <si>
    <t>3.15</t>
  </si>
  <si>
    <t>Művelődési Ház által szervezett rendezvények és egyéb feladatok</t>
  </si>
  <si>
    <t>Alkotótábor</t>
  </si>
  <si>
    <t>Művészeti csoportok támogatása</t>
  </si>
  <si>
    <t>Program előkészítés</t>
  </si>
  <si>
    <t xml:space="preserve">Szerzői jogdíj </t>
  </si>
  <si>
    <t>3.16</t>
  </si>
  <si>
    <t>Városi rendezvények</t>
  </si>
  <si>
    <t>3.17</t>
  </si>
  <si>
    <t>3.18</t>
  </si>
  <si>
    <t>Jubileumi házassági évfordulók</t>
  </si>
  <si>
    <t>3.19</t>
  </si>
  <si>
    <t>Reprezentációs keret</t>
  </si>
  <si>
    <t>90., 95. és 100. évesek ajándékozása</t>
  </si>
  <si>
    <t>3.21</t>
  </si>
  <si>
    <t>3.22</t>
  </si>
  <si>
    <t>Városközpont-fejlesztő Kft felügyelő bizottsági tagok díjazása 182/2009. (VIII.31.)</t>
  </si>
  <si>
    <t>3.23</t>
  </si>
  <si>
    <t>Városközpont-fejlesztő Kft megbízási szerződésének meghosszabbítása a városközpont projektre</t>
  </si>
  <si>
    <t>3.24</t>
  </si>
  <si>
    <t>3.25</t>
  </si>
  <si>
    <t>Életjáradék</t>
  </si>
  <si>
    <t>3.26</t>
  </si>
  <si>
    <t>3.27</t>
  </si>
  <si>
    <t>3.28</t>
  </si>
  <si>
    <t>Elismerő címek, díjak, kitüntetések</t>
  </si>
  <si>
    <t>belső forgalomtechnika</t>
  </si>
  <si>
    <t>Esetenkénti tervezési feladatok</t>
  </si>
  <si>
    <t>Céltartalék összesen</t>
  </si>
  <si>
    <t>2009. évi tervezet</t>
  </si>
  <si>
    <t>1.1.4.1</t>
  </si>
  <si>
    <t>1.1.4.2</t>
  </si>
  <si>
    <t>1.1.4.3</t>
  </si>
  <si>
    <t>1.1.4.4</t>
  </si>
  <si>
    <t>Air LED pályázat</t>
  </si>
  <si>
    <t>Vis major keret</t>
  </si>
  <si>
    <t>Környezetvédelemmel kapcsolatos pályázatok önrésze</t>
  </si>
  <si>
    <t>Szelektív hulladékgyűjtés fejlesztése</t>
  </si>
  <si>
    <t>Információs akadálymentesítés</t>
  </si>
  <si>
    <t>Veszélyes hulladékgyűjtő akciók számának növelése 3-ról 5-re</t>
  </si>
  <si>
    <t>Városi fejlesztésekre céltartalék</t>
  </si>
  <si>
    <t xml:space="preserve">Vecsés Város Önkormányzat adósságot keletkeztető ügyletekből és kezességvállalásokból fennálló kötelezettségei </t>
  </si>
  <si>
    <t>Sor-szám</t>
  </si>
  <si>
    <t>MEGNEVEZÉS</t>
  </si>
  <si>
    <t>Évek</t>
  </si>
  <si>
    <t>Összesen
(7=3+4+5+6)</t>
  </si>
  <si>
    <t>2012.</t>
  </si>
  <si>
    <t>2013.</t>
  </si>
  <si>
    <t>2014.</t>
  </si>
  <si>
    <t>"Sikeres Magyarországért" ÖKIF hitelprogram (200 millió)</t>
  </si>
  <si>
    <t>"Sikeres Magyarországért" ÖKIF hitelprogram (500 millió)</t>
  </si>
  <si>
    <t>300.000.000.Ft értékű kötvénykibocsátás</t>
  </si>
  <si>
    <t>700.000.000.Ft értékű kötvénykibocsátás</t>
  </si>
  <si>
    <t>Vecsési Futball létesítmények korszerűsítése ÖKIF hitelprogram</t>
  </si>
  <si>
    <t>ÖSSZES KÖTELEZETTSÉG</t>
  </si>
  <si>
    <t>Vecsés Város Önkormányzat saját bevételeinek részletezése az adósságot keletkeztető ügyletből származó tárgyévi fizetési kötelezettség megállapításához</t>
  </si>
  <si>
    <t>ezer Ft</t>
  </si>
  <si>
    <t>Bevételi jogcímek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</si>
  <si>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</si>
  <si>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</si>
  <si>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</si>
  <si>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</si>
  <si>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</si>
  <si>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SAJÁT BEVÉTELEK ÖSSZESEN*</t>
  </si>
  <si>
    <t>Fejlesztési cél leírása</t>
  </si>
  <si>
    <t>Fejlesztés várható kiadása</t>
  </si>
  <si>
    <t>ADÓSSÁGOT KELETKEZTETŐ ÜGYLETEK VÁRHATÓ EGYÜTTES ÖSSZEGE</t>
  </si>
  <si>
    <t>JOGCÍM</t>
  </si>
  <si>
    <t>ÖSSZESEN</t>
  </si>
  <si>
    <t xml:space="preserve">Lakott külterülettel kapcsolatos feladatok </t>
  </si>
  <si>
    <t xml:space="preserve">Szociális étkeztetés </t>
  </si>
  <si>
    <t>Gyermekek napközbeni ellátása</t>
  </si>
  <si>
    <t>II.</t>
  </si>
  <si>
    <t>Óvodában, iskolában kedvezményes étkeztetés</t>
  </si>
  <si>
    <t>Bölcsödei ingyenes étkezés</t>
  </si>
  <si>
    <t>III.</t>
  </si>
  <si>
    <t>IV.</t>
  </si>
  <si>
    <t>Kötelezettség jogcíme</t>
  </si>
  <si>
    <t>Köt. váll.
 éve</t>
  </si>
  <si>
    <t>Összesen</t>
  </si>
  <si>
    <t>9=(4+5+6+7+8)</t>
  </si>
  <si>
    <t>Működési célú hiteltörlesztés (tőke+kamat)</t>
  </si>
  <si>
    <t>Felhalmozási célú hiteltörlesztés (tőke+kamat)</t>
  </si>
  <si>
    <t>300.000.000 Ft értékű kötvénykibocsátás</t>
  </si>
  <si>
    <t>700.000.000 Ft értékű kötvénykibocsátás</t>
  </si>
  <si>
    <t>Beruházás feladatonként</t>
  </si>
  <si>
    <t>Felújítás célonként</t>
  </si>
  <si>
    <t>Összesen (1+3+9+11+13)</t>
  </si>
  <si>
    <t>Vecsés Város Önkormányzata 2010. évben 200.000.000 Ft MFB által refinanszírozott beruházási hitelt vett fel, melynek visszafizetési ütemezését a táblázat 4. sora tartalmazza.</t>
  </si>
  <si>
    <t>Az intézményi világítás korszerűsítés megvalósítására 2006. évben az  MFB által refinanszírozott hitel felvételével került sor, melynek visszafizetési ütemezését a táblázat 5. sora mutatja be.</t>
  </si>
  <si>
    <t>A beruházások finanszírozására 2007. évben 300.000.000 Ft értékben kötvényt bocsátott ki az Önkormányzat. Az esedékes fizetési kötelezettség a táblázat 6. során látható.</t>
  </si>
  <si>
    <t>A Képviselő-testület a 230/2007 (XII. 18.) számú határozata alapján 2008. évben 700.000.000 Ft kötvény kibocsátásra kerül sor. A táblázat 7. sora tartalmazza a jelen ismeretek alapján prognosztizált ütemezését.</t>
  </si>
  <si>
    <t>A Képviselő-testület 2008. évben a sportpálya és sportlétesítmények korszerűsítésére 100.000.000 Ft MFB által refinanszírozott hitelt vett fel, melynek visszafizetési ütemezését a táblázat 8. sora mutatja be.</t>
  </si>
  <si>
    <t>EU-s projekt neve, azonosítója:</t>
  </si>
  <si>
    <t>ezer forintban</t>
  </si>
  <si>
    <t>Források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</si>
  <si>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</si>
  <si>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</si>
  <si>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</si>
  <si>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</si>
  <si>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</si>
  <si>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</si>
  <si>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</si>
  <si>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</si>
  <si>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</si>
  <si>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</si>
  <si>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</si>
  <si>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</si>
  <si>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</si>
  <si>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Csigaház Gyermektrerápiás Projekt TÁMOP.5.2.5.A-10/1-2010-0018</t>
  </si>
  <si>
    <t>Air LED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</si>
  <si>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</si>
  <si>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</si>
  <si>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</si>
  <si>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</si>
  <si>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</si>
  <si>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</si>
  <si>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</si>
  <si>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</si>
  <si>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</si>
  <si>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</si>
  <si>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</si>
  <si>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</si>
  <si>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</si>
  <si>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</si>
  <si>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</si>
  <si>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</si>
  <si>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</si>
  <si>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</si>
  <si>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</si>
  <si>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</si>
  <si>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27.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</si>
  <si>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</si>
  <si>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</si>
  <si>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</si>
  <si>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</si>
  <si>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</si>
  <si>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</si>
  <si>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</si>
  <si>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</si>
  <si>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</si>
  <si>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</si>
  <si>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</si>
  <si>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</si>
  <si>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Intézményi működési bevételek</t>
  </si>
  <si>
    <t>Támogatások, hozzájárulások bevételei</t>
  </si>
  <si>
    <t>Felhalmozási célú bevételek</t>
  </si>
  <si>
    <t>Átvett pénzeszközök</t>
  </si>
  <si>
    <t>Kölcsönök</t>
  </si>
  <si>
    <t>Előző évi pénzmaradvány, vállalkozási eredmény</t>
  </si>
  <si>
    <t>Finanszírozási célú bevételek</t>
  </si>
  <si>
    <t>Ellátottak pénzbeli juttatása</t>
  </si>
  <si>
    <t>Támogatások, elvonások</t>
  </si>
  <si>
    <t>Lakosságnak juttatott tám., szociális, rászorultság jellegű tám.</t>
  </si>
  <si>
    <t>Hitelek kamatai</t>
  </si>
  <si>
    <t>Felhalmozási költségvetés kiadásai</t>
  </si>
  <si>
    <t>Finanszírozási célú kiadások</t>
  </si>
  <si>
    <t>Egyenleg</t>
  </si>
  <si>
    <t xml:space="preserve"> ezer forintban</t>
  </si>
  <si>
    <t xml:space="preserve">Hitel, kölcsön </t>
  </si>
  <si>
    <t>Kölcsön-
nyújtás
éve</t>
  </si>
  <si>
    <t xml:space="preserve">Lejárat
éve </t>
  </si>
  <si>
    <t>Hitel, kölcsön állomány január 1-jén</t>
  </si>
  <si>
    <t xml:space="preserve">Rövid lejáratú </t>
  </si>
  <si>
    <t>Hosszú lejáratú</t>
  </si>
  <si>
    <t>"Sikeres Magyarországért" ÖKIF hitelprogram</t>
  </si>
  <si>
    <t>300. mo. Ft kötvény kibocsátás</t>
  </si>
  <si>
    <t>700. mo. Ft kötvény kibocsátás</t>
  </si>
  <si>
    <t xml:space="preserve">2008. </t>
  </si>
  <si>
    <t>Összesen (1+6)</t>
  </si>
  <si>
    <t>2009. év</t>
  </si>
  <si>
    <t>2010. évi Eredeti előirányzat</t>
  </si>
  <si>
    <t>2012. évi Eredeti előirányzat</t>
  </si>
  <si>
    <t>Bírságok, pótlékok</t>
  </si>
  <si>
    <t>Saját folyó bevételek (01+ …+05)</t>
  </si>
  <si>
    <t>Előző év(ek)ben keletkezett tárgyévet terhelő fizetési kötelezettség (08+…+14)</t>
  </si>
  <si>
    <t>Támogatási kölcsönök törlesztése ÁH-n belülre</t>
  </si>
  <si>
    <t>Hosszú lejáratú hitelek visszafizetése</t>
  </si>
  <si>
    <t>Rövidlejáratú hitelek visszafizetése</t>
  </si>
  <si>
    <t>Külföldi finanszírozás kiadási</t>
  </si>
  <si>
    <t>Lízingdíj</t>
  </si>
  <si>
    <t>Garancia és kezességvállalásból származó fizetési kötelezettség</t>
  </si>
  <si>
    <t>Kamatfizetési kötelezettség 08-14 sorok után</t>
  </si>
  <si>
    <t>Rövid lejáratú kötelezettségek (07+15)</t>
  </si>
  <si>
    <t>Hitelfelvételi korlát (06-16) x 0,5</t>
  </si>
  <si>
    <t>Támogatott szervezet neve</t>
  </si>
  <si>
    <t>Támogatás célja</t>
  </si>
  <si>
    <t xml:space="preserve">Támogatás összge 
</t>
  </si>
  <si>
    <t>Működési támogatás</t>
  </si>
  <si>
    <t>28.</t>
  </si>
  <si>
    <t>Függő, átfutó, kiegyenlítő bevételek</t>
  </si>
  <si>
    <t>Függő, átfutó, kiegyenlítő kiadások</t>
  </si>
  <si>
    <t>Költségvetési szervek finanszírozása</t>
  </si>
  <si>
    <t>43.</t>
  </si>
  <si>
    <t>44.</t>
  </si>
  <si>
    <t>45.</t>
  </si>
  <si>
    <t>46.</t>
  </si>
  <si>
    <t>47.</t>
  </si>
  <si>
    <t>49.</t>
  </si>
  <si>
    <t>50.</t>
  </si>
  <si>
    <t>51.</t>
  </si>
  <si>
    <t>52.</t>
  </si>
  <si>
    <t>53.</t>
  </si>
  <si>
    <t>2012. évi Módosított előirányzat</t>
  </si>
  <si>
    <t>1.4.2</t>
  </si>
  <si>
    <t>1.4.3.1</t>
  </si>
  <si>
    <t>1.4.3.2</t>
  </si>
  <si>
    <t>1.4.3.3</t>
  </si>
  <si>
    <t>1.4.3.4</t>
  </si>
  <si>
    <t>1.4.3.5</t>
  </si>
  <si>
    <t>1.4.3.6</t>
  </si>
  <si>
    <t>1.4.3.7</t>
  </si>
  <si>
    <t>1.4.3.8</t>
  </si>
  <si>
    <t>1.4.4.</t>
  </si>
  <si>
    <t xml:space="preserve"> - Lakosságnak juttatott támogatások</t>
  </si>
  <si>
    <t xml:space="preserve"> - Ellátottak pénzbeli juttatásai</t>
  </si>
  <si>
    <t xml:space="preserve"> - Működési célú pénzmaradvány átadás</t>
  </si>
  <si>
    <t xml:space="preserve"> - Működési célú pénzeszköz átadás államháztartáson kívülre</t>
  </si>
  <si>
    <t xml:space="preserve"> - Működési célú támogatásértékű kiadás</t>
  </si>
  <si>
    <t xml:space="preserve"> - Garancia és kezességvállalásból származó kifizetés</t>
  </si>
  <si>
    <t xml:space="preserve"> - Kamatkiadások</t>
  </si>
  <si>
    <t xml:space="preserve"> - Pénzforgalom nélküli kiadások</t>
  </si>
  <si>
    <t>4.4.</t>
  </si>
  <si>
    <t>4.7</t>
  </si>
  <si>
    <t>4.2.</t>
  </si>
  <si>
    <t>8.1</t>
  </si>
  <si>
    <t>8.2</t>
  </si>
  <si>
    <t>KIADÁSOK ÖSSZESEN:</t>
  </si>
  <si>
    <t>Működési kiadások összesen:</t>
  </si>
  <si>
    <t>4.7.1</t>
  </si>
  <si>
    <t>4.7.2.</t>
  </si>
  <si>
    <t>I/1. Közhatalmi bevételek (2.1.+…+.2.6.)</t>
  </si>
  <si>
    <t>Támogatásértékű működési bevételek Egyéb nem önk.</t>
  </si>
  <si>
    <t>Működési bevételek összesen:</t>
  </si>
  <si>
    <t>Felhalmozási bevételek összesen:</t>
  </si>
  <si>
    <t>BEVÉTELEK ÖSSZESEN</t>
  </si>
  <si>
    <t>Támogatások összesen:</t>
  </si>
  <si>
    <t>Halmozódás kiszűrése</t>
  </si>
  <si>
    <t>Működési célú p.e.átvétel államházt.kivülről</t>
  </si>
  <si>
    <t>Intézményi egyéb működési kiadások</t>
  </si>
  <si>
    <t>Kölcsön</t>
  </si>
  <si>
    <t>2012.09.30. Módosított előirányzat</t>
  </si>
  <si>
    <t>2012.09.30. Teljesítés</t>
  </si>
  <si>
    <t>2012.09.30.Teljesítés</t>
  </si>
  <si>
    <t xml:space="preserve">2012.09.30.Teljesítés </t>
  </si>
  <si>
    <t>2012.09.30.Módosított előirányzat</t>
  </si>
  <si>
    <t>7.2</t>
  </si>
  <si>
    <t>Semmelwies Bölcsőde</t>
  </si>
  <si>
    <t>14.1</t>
  </si>
  <si>
    <t>13.2</t>
  </si>
  <si>
    <t>5.9</t>
  </si>
  <si>
    <t>Számítógép vásárlás</t>
  </si>
  <si>
    <t>5.10.</t>
  </si>
  <si>
    <t>Vagyongazdálkodás Klíma</t>
  </si>
  <si>
    <t>1.29</t>
  </si>
  <si>
    <t>1.30</t>
  </si>
  <si>
    <t>2.30</t>
  </si>
  <si>
    <t>2.31</t>
  </si>
  <si>
    <t>2.32</t>
  </si>
  <si>
    <t>2.33</t>
  </si>
  <si>
    <t>2.34</t>
  </si>
  <si>
    <t>1.31</t>
  </si>
  <si>
    <t>1.32</t>
  </si>
  <si>
    <t>4.8</t>
  </si>
  <si>
    <t>4.9</t>
  </si>
  <si>
    <t>1.6.2.30</t>
  </si>
  <si>
    <t>Vecsés Open Teniszbajnokság</t>
  </si>
  <si>
    <t>1.6.2.31</t>
  </si>
  <si>
    <t>Dél-pesti ILCO Club</t>
  </si>
  <si>
    <t>1.6.2.32</t>
  </si>
  <si>
    <t>Kisspista Színház</t>
  </si>
  <si>
    <t>1.6.2.33</t>
  </si>
  <si>
    <t>VSE Őkölvívó Szakosztály</t>
  </si>
  <si>
    <t>1.6.2.34</t>
  </si>
  <si>
    <t>VFC Old Boys csapata</t>
  </si>
  <si>
    <t>1.6.2.35</t>
  </si>
  <si>
    <t>BVSC Nagy. N. Szinkronúszó</t>
  </si>
  <si>
    <t>1.6.2.36</t>
  </si>
  <si>
    <t>Kőbányai SC Sárkány V.Bírkózó</t>
  </si>
  <si>
    <t>1.6.2.37</t>
  </si>
  <si>
    <t>Sandan Karate Közh.SE</t>
  </si>
  <si>
    <t>Felhalmozási célú pénzeszközátadás</t>
  </si>
  <si>
    <t xml:space="preserve">Lakóingatlan lakbér </t>
  </si>
  <si>
    <t>Függő,átfutó,kiegyenlítő kiadások</t>
  </si>
  <si>
    <t>Működési célú pénzeszközátvétel Társulattól</t>
  </si>
  <si>
    <t>Végleges pe.átvétel Áh.kivülről Felhalmozási</t>
  </si>
  <si>
    <t>Felhalmozási c.pe.átv.Áh.kivülről</t>
  </si>
  <si>
    <t xml:space="preserve">       - Felhalmozási támogatás (Alapítványi bevétel)</t>
  </si>
  <si>
    <t>2013. évi Eredeti előirányzat</t>
  </si>
  <si>
    <t>2013. évi terv</t>
  </si>
  <si>
    <t>2013. évi Terv</t>
  </si>
  <si>
    <t>Ezer Forint</t>
  </si>
  <si>
    <t>Városközpont átadásáig felmerülő költségek (JAM Ház, Könyvtár költözése…)</t>
  </si>
  <si>
    <t>Mindenki karácsonya</t>
  </si>
  <si>
    <t>Egyéb banki járulékok (tranzakciós illetékkel együtt)</t>
  </si>
  <si>
    <t>Beruházásokhoz kapcsolódó kertészet</t>
  </si>
  <si>
    <t>Energetikai pályázat</t>
  </si>
  <si>
    <t>Iskolák szakmai feladatai</t>
  </si>
  <si>
    <t>2013. évi előirányzat</t>
  </si>
  <si>
    <t>hiány:</t>
  </si>
  <si>
    <t>Bérleti és lízing díjbevétel/Tartós bérelti díjak/</t>
  </si>
  <si>
    <t xml:space="preserve"> - Egyéb építmény bérbeadása (DPMV Zrt.)</t>
  </si>
  <si>
    <t>Önkormányzatok működésének támogatása</t>
  </si>
  <si>
    <t>Cigány Nemzetiségi Önkormányzat</t>
  </si>
  <si>
    <t>Gépkocsi vásárlás</t>
  </si>
  <si>
    <t>Hulladék lerakási pótdíj</t>
  </si>
  <si>
    <t xml:space="preserve">Egyéb bevételek </t>
  </si>
  <si>
    <t>2.8.2</t>
  </si>
  <si>
    <t>2.8.3</t>
  </si>
  <si>
    <t>2.8.4</t>
  </si>
  <si>
    <t>2.8.5</t>
  </si>
  <si>
    <t>2015.</t>
  </si>
  <si>
    <t>2015. 
után</t>
  </si>
  <si>
    <t>Vecsés Város Önkormányzat 2013. évi adósságot keletkeztető fejlesztési céljai</t>
  </si>
  <si>
    <t>2013. előtti kifizetés</t>
  </si>
  <si>
    <t>2015. után</t>
  </si>
  <si>
    <t>Bálint Ágnes Családi Nap</t>
  </si>
  <si>
    <t xml:space="preserve"> - VFC támogatás </t>
  </si>
  <si>
    <t xml:space="preserve">Egyéb pe. Átadás DPMV Zrt. </t>
  </si>
  <si>
    <t>Könyv nyomdai költségek 9/2013. (I. 29.) határozat</t>
  </si>
  <si>
    <t>Üllő</t>
  </si>
  <si>
    <t>1.3.1.1.5.</t>
  </si>
  <si>
    <t xml:space="preserve">          Feladatalapú és kiegészítő támogatás      </t>
  </si>
  <si>
    <t xml:space="preserve">Feladatalapú és kiegészítő támogatás                              / Gyömrő hívja le /   </t>
  </si>
  <si>
    <t>Hulladéklerakók Pály.Önrész</t>
  </si>
  <si>
    <t xml:space="preserve">Tanulmányi verseny </t>
  </si>
  <si>
    <t>Iskolák közötti sportvereseny (tárgyi jutalmak)</t>
  </si>
  <si>
    <t>1.1.2.1.1.4</t>
  </si>
  <si>
    <t>1.1.2.1.1.5</t>
  </si>
  <si>
    <t>1.1.2.1.1.6</t>
  </si>
  <si>
    <t xml:space="preserve"> - Grassalkovich Antal Általános Iskola</t>
  </si>
  <si>
    <t xml:space="preserve"> - Halmi Téri Általános Iskola</t>
  </si>
  <si>
    <t xml:space="preserve"> - Gr. Andrássy Gyula Általános Iskola</t>
  </si>
  <si>
    <t xml:space="preserve"> - Városgazdálkodás</t>
  </si>
  <si>
    <t xml:space="preserve"> - Zeneiskola</t>
  </si>
  <si>
    <t>Népdalkör Népzenei tábor</t>
  </si>
  <si>
    <t>Concerto Haramoniaénekkar támogatása</t>
  </si>
  <si>
    <t>Kispista színház támogatása</t>
  </si>
  <si>
    <t>Kiállítások ( 11 alkalom )</t>
  </si>
  <si>
    <t>tanfolyamok, oktatások</t>
  </si>
  <si>
    <t>Színház felnőtteknek</t>
  </si>
  <si>
    <t>Gyermekelőadások kisiskolások, ovisok</t>
  </si>
  <si>
    <t>Könnyűzenei koncertek</t>
  </si>
  <si>
    <t>Népzene, néptánc</t>
  </si>
  <si>
    <t>Tánc előadás</t>
  </si>
  <si>
    <t>Művészeti szakmai vezetők tiszteletdíja</t>
  </si>
  <si>
    <t>Bálint Ágnes Kultúrvár megnyitó ünnepség</t>
  </si>
  <si>
    <t>2.2.6</t>
  </si>
  <si>
    <t>2.2.7</t>
  </si>
  <si>
    <t>2.2.8</t>
  </si>
  <si>
    <t>3.9.1</t>
  </si>
  <si>
    <t>3.9.2</t>
  </si>
  <si>
    <t>3.9.3</t>
  </si>
  <si>
    <t>3.10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</si>
  <si>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</si>
  <si>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</si>
  <si>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</si>
  <si>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</si>
  <si>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</si>
  <si>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</si>
  <si>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</si>
  <si>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</si>
  <si>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</si>
  <si>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</si>
  <si>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3.12.1</t>
  </si>
  <si>
    <t>3.12.2</t>
  </si>
  <si>
    <t>3.12.3</t>
  </si>
  <si>
    <t>3.12.4</t>
  </si>
  <si>
    <t>3.12.5</t>
  </si>
  <si>
    <t>3.12.6</t>
  </si>
  <si>
    <t>3.12.7</t>
  </si>
  <si>
    <t>3.12.8</t>
  </si>
  <si>
    <t>3.12.9</t>
  </si>
  <si>
    <t>3.12.10</t>
  </si>
  <si>
    <t>3.12.11</t>
  </si>
  <si>
    <t>3.12.12</t>
  </si>
  <si>
    <t>3.12.13</t>
  </si>
  <si>
    <t>3.12.14</t>
  </si>
  <si>
    <t>3.12.15</t>
  </si>
  <si>
    <t>3.12.16</t>
  </si>
  <si>
    <t>3.12.17</t>
  </si>
  <si>
    <t>3.20</t>
  </si>
  <si>
    <t>Felhasználás
2012. XII.31-ig</t>
  </si>
  <si>
    <t xml:space="preserve">
2013. év utáni szükséglet
</t>
  </si>
  <si>
    <t>Út- és járda felújítások</t>
  </si>
  <si>
    <t>Major utca felújítása</t>
  </si>
  <si>
    <t>Loránffy utca felújítása</t>
  </si>
  <si>
    <t>Eötvös utca Vértesi utca felújítása</t>
  </si>
  <si>
    <t>2013. év utáni szükséglet
(6=2 - 4 - 5)</t>
  </si>
  <si>
    <t>Halmi téri szobor elhelyezése (I. részlet)</t>
  </si>
  <si>
    <t>Szabadidőpark tervezése</t>
  </si>
  <si>
    <t>Fő út melletti szabadidő park kialakítása</t>
  </si>
  <si>
    <t>Buszvárók tájékoztató tábláinak cseréje</t>
  </si>
  <si>
    <t>Petőfi téren elhelyezendő utcabútorok</t>
  </si>
  <si>
    <t>Petőfi téri fák köré rácsos lezáró telepítése</t>
  </si>
  <si>
    <t>Halmy József téri játszótér kerítés építése</t>
  </si>
  <si>
    <t>Ravatalozó  kiviteli tervezése</t>
  </si>
  <si>
    <t>Ravatalozó egyéb költségei</t>
  </si>
  <si>
    <t>Epres területén elektromos csatlakozási helyek kiépítése</t>
  </si>
  <si>
    <t>Meglévő térfigyelő rendszer karbantartásához eszközök bizt.</t>
  </si>
  <si>
    <r>
      <t xml:space="preserve">Lőrinci út, Széchenyi u. </t>
    </r>
    <r>
      <rPr>
        <sz val="12"/>
        <rFont val="Times New Roman"/>
        <family val="1"/>
        <charset val="238"/>
      </rPr>
      <t>ivóvízellátása és szennyvízcsatorna kivitelezése</t>
    </r>
  </si>
  <si>
    <t>Út- és járdaépítések</t>
  </si>
  <si>
    <t>Virág utca  útépítése</t>
  </si>
  <si>
    <t>Wass A. u. aszfaltozási munkák</t>
  </si>
  <si>
    <t>Görgey u. útépítési munkák</t>
  </si>
  <si>
    <t>Ecseri úti járda építése Temető előtt Mátyás utcáig</t>
  </si>
  <si>
    <t>Telepi úti járda viacolor burkolása (gyógyszertártól - Anna utcáig)</t>
  </si>
  <si>
    <t>Károly utcai járda ( Attila utcától- Álmos utcáig) egy oldalon</t>
  </si>
  <si>
    <t>Eötvös utca egyoldali járda építése Miklós utca Károly utca között</t>
  </si>
  <si>
    <t>Kinizsi utca Dózs Gy u. Bercsényi utca közötti járda felújítása</t>
  </si>
  <si>
    <t>"Vashídhoz" vezető járda építése (Virág u.- Ádám u.)</t>
  </si>
  <si>
    <t>Halmi Téri iskola, óvoda előtt forg. Csillapító küszöb építése</t>
  </si>
  <si>
    <t>Egyéb csapadékvíz elvezetési munkálatok</t>
  </si>
  <si>
    <t>Budai N. A. utca: árokmeder burkolás (Zrínyi u. - Gyáli Patak)</t>
  </si>
  <si>
    <t>Művelődési ház és városi könyvtár épület tanusítványok, egyéb</t>
  </si>
  <si>
    <t>Eötvös utca 17. sz. ingatlan második részének megvétele, egyéb ktg.</t>
  </si>
  <si>
    <t>Küküllői utca 32. sz. ingatlan megvétele</t>
  </si>
  <si>
    <t>Polgármesteri  Hivatal külső hőszigetelése</t>
  </si>
  <si>
    <t>Polgármesteri hivatal beléptető rendszer kialakítása</t>
  </si>
  <si>
    <t>5.1. sz. mellékleet</t>
  </si>
  <si>
    <t>5.3. sz.melléklet</t>
  </si>
  <si>
    <t>5.7. sz. melléklet</t>
  </si>
  <si>
    <t>5.9. sz. melléklet</t>
  </si>
  <si>
    <t>5.11. sz.melléklet</t>
  </si>
  <si>
    <t>Intézmények működési bevételei Vecsés</t>
  </si>
  <si>
    <t>Intézmények működési bevételei Gyömrő</t>
  </si>
  <si>
    <t>Városgazdálkodás ( Iskolák technikai dolgozói)</t>
  </si>
  <si>
    <t xml:space="preserve"> -Gépjárműadó (40%)</t>
  </si>
  <si>
    <t>2013. év</t>
  </si>
  <si>
    <t>FAJLAGOS MUTATÓ</t>
  </si>
  <si>
    <t>LÉTSZÁM/mennyiség</t>
  </si>
  <si>
    <t>Helyi önkormányzatok működésének általános támogatása</t>
  </si>
  <si>
    <t>Települési önkormányzatok működésének támogatása</t>
  </si>
  <si>
    <t>1.a)</t>
  </si>
  <si>
    <t>Önkormányzati Hivatal működésének támogatása</t>
  </si>
  <si>
    <t>1.b)</t>
  </si>
  <si>
    <t>Település üzemeltetéséhez kapcsolódó feladatellátás támogatása</t>
  </si>
  <si>
    <t>1.ba)</t>
  </si>
  <si>
    <t>zöldterület gazdálkodással kapcsolatos feladatok ellátásának támogatása</t>
  </si>
  <si>
    <t>1.bb)</t>
  </si>
  <si>
    <t>Közvilágítás fenntartásának támogatása (2011. évi zárszámadási adat)</t>
  </si>
  <si>
    <t>1.bc)</t>
  </si>
  <si>
    <t>Köztemető fenntartásával kapcsolatos feladatok támogatása</t>
  </si>
  <si>
    <t>1.bd)</t>
  </si>
  <si>
    <t>Közutak fenntartásának támogatása</t>
  </si>
  <si>
    <t>1.c)</t>
  </si>
  <si>
    <t>beszámítás összege</t>
  </si>
  <si>
    <t xml:space="preserve">1.d) </t>
  </si>
  <si>
    <t>Egyéb kötelező önkormányzati feladatok támogatása</t>
  </si>
  <si>
    <t>Települési önkormányzatok egyes köznevelési és gyermekétkeztetési feladatainak támogatása</t>
  </si>
  <si>
    <t>Óvodapedagógusok, és óv.ped.munkáját segítők bértámogatása</t>
  </si>
  <si>
    <t>Óvodapedagógusok átlakbérének és közterheinek elismert összege</t>
  </si>
  <si>
    <t>2013. évben 8 hónapra</t>
  </si>
  <si>
    <t>2013. évben 4 hónapra</t>
  </si>
  <si>
    <t>Óvodapedagógusok nevelő munkáját közvetlenül segítő átlagbérébek és közterheinek összege</t>
  </si>
  <si>
    <t>Óvodaműködtetési  támogatás</t>
  </si>
  <si>
    <t>Ingyenes és kedvezményes gyermekétkeztetés támogatás</t>
  </si>
  <si>
    <t>3.a)</t>
  </si>
  <si>
    <t>3.b)</t>
  </si>
  <si>
    <t>Települési Önkormányatok szociális és gyermekjóléti fealadatinak támogatása</t>
  </si>
  <si>
    <t>Egyes jövedelempótlő támogatások kiegészítése</t>
  </si>
  <si>
    <t>Hozzájárulások a pénzbeli szociális ellátásokhoz</t>
  </si>
  <si>
    <t xml:space="preserve">3. </t>
  </si>
  <si>
    <t>Egyes szociális és gyermekjóléti faladatok támogatása</t>
  </si>
  <si>
    <t>3. ab)</t>
  </si>
  <si>
    <t>Szociális és gyermekjóléti feladatok támogatása</t>
  </si>
  <si>
    <t>3.ae) (1)</t>
  </si>
  <si>
    <t xml:space="preserve">Társulási kiagészítés-családsegítés </t>
  </si>
  <si>
    <t>3.ae) (2)</t>
  </si>
  <si>
    <t>Társulási kiagészítés-gyermekjóléti szolgálat</t>
  </si>
  <si>
    <t>3.c)</t>
  </si>
  <si>
    <t>3.d)</t>
  </si>
  <si>
    <t>3.f) (2)</t>
  </si>
  <si>
    <t>Időskorúak nappali intézményi ellátása-társulás által történő feladatellátás</t>
  </si>
  <si>
    <t>3.j)</t>
  </si>
  <si>
    <t>3.ja)</t>
  </si>
  <si>
    <t>Bölcsődei ellátás</t>
  </si>
  <si>
    <t>Települési Önkormányzatok kulturális faladatainak támogatása</t>
  </si>
  <si>
    <t>Könyvtári, közművelődési és múzeumi feladatok támogatása</t>
  </si>
  <si>
    <t>1.d.)</t>
  </si>
  <si>
    <t>Települési önkormányzatok támogatása a nyilvános könyvtári ellátási és közművelődési fatadatokhoz</t>
  </si>
  <si>
    <t>Általános működési és ágazati feladatok támogatása összesen</t>
  </si>
  <si>
    <t>Üdülőhelyi feladatoktámogatása</t>
  </si>
  <si>
    <t>Központi költségvetési kapcsolatokból származó 2013. évi források összesen:</t>
  </si>
  <si>
    <t>2011. évi teljesítés</t>
  </si>
  <si>
    <t>2012. évi várható</t>
  </si>
  <si>
    <t>BEVÉTELEK</t>
  </si>
  <si>
    <t>MŰKÖDÉSI KÖLTSÉGVETÉSI BEVÉTELEK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</si>
  <si>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</si>
  <si>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</si>
  <si>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Kiemelt előirányzatok</t>
  </si>
  <si>
    <t>Működési célú támogatás Áht.-on belülről</t>
  </si>
  <si>
    <t>Elkülönített állami pénzalapból</t>
  </si>
  <si>
    <t>Társadalombiztosítás pénzügyi alapjaiból</t>
  </si>
  <si>
    <t>Helyi önkormányzattól</t>
  </si>
  <si>
    <t>Nemzetiségi önkormányzattól</t>
  </si>
  <si>
    <t>Térségi fejlesztési tanácstól az Áht.központi  alrendszerén belülről kapott európai uniós forrásból származó pénzeszközből</t>
  </si>
  <si>
    <t>Fejezeti kezelésű előirányzat bevételként elszámolható összegből</t>
  </si>
  <si>
    <t>A központi költségvetés előirányzat-módosítási kötelezettség nélkül túlteljesíthető előirányzatból</t>
  </si>
  <si>
    <t>Adók</t>
  </si>
  <si>
    <t>Járulékok</t>
  </si>
  <si>
    <t>Hozzájárulások</t>
  </si>
  <si>
    <t>Bírságok</t>
  </si>
  <si>
    <t>Díjak</t>
  </si>
  <si>
    <t>Más fizetési kötelezettségek</t>
  </si>
  <si>
    <t>Intézményi működési bevétel</t>
  </si>
  <si>
    <t>Áru-és készletértékesítés</t>
  </si>
  <si>
    <t>Bérleti díj bevételek</t>
  </si>
  <si>
    <t>Áfa bevételek</t>
  </si>
  <si>
    <t>Hozam -és kamatbevételek</t>
  </si>
  <si>
    <t>Működési célú átvett pénzeszköz</t>
  </si>
  <si>
    <t>Előző évi előirányzat maradvány, pénzmaradvány, valamint a vállalkozási maradvány alaptevékenység ellátására történő igénybevétele</t>
  </si>
  <si>
    <t>FELHALMOZÁSI KÖLTSÉGVETÉSI BEVÉTELEK</t>
  </si>
  <si>
    <t>Felhalmozási célú támogatás Áht.-on belülről</t>
  </si>
  <si>
    <t>Felhalmozási bevétel</t>
  </si>
  <si>
    <t xml:space="preserve">  tárgyi eszközök és immateriális javak értékesítése</t>
  </si>
  <si>
    <t xml:space="preserve">  pénzügyi befektetések bevételei</t>
  </si>
  <si>
    <t>Felhalmozási célú átvett pénzeszköz</t>
  </si>
  <si>
    <t>MŰKÖDÉSI FINANSZÍROZÁSI BEVÉTELEK</t>
  </si>
  <si>
    <t xml:space="preserve"> Befektetési vagy forgatási célú hitelviszonyt megtestesítő értékpapír kibocsátása, értékesítése, beváltása az eladási árban elismert kamat kivételével</t>
  </si>
  <si>
    <t>Hosszú lejáratú hitel felvétele</t>
  </si>
  <si>
    <t>Rövid lejáratú hitel felvétele</t>
  </si>
  <si>
    <t>Kölcsön felvétele</t>
  </si>
  <si>
    <t>Szabad pénzeszközök betétként való elhelyezése</t>
  </si>
  <si>
    <t>Költségvetési maradvány, vállalkozási maradvány</t>
  </si>
  <si>
    <t>Irányító szervi támogatásként folyósított támogatás fizetési számlán történő jóváírása</t>
  </si>
  <si>
    <t>FELHALMOZÁSI FINANSZÍROZÁSI BEVÉTELEK</t>
  </si>
  <si>
    <t>Befektetési vagy forgatási célú hitelviszonyt megtestesítő értékpapír kibocsátása, értékesítése, beváltása az eladási árban elismert kamat kivételével</t>
  </si>
  <si>
    <t>BEVÉTELEK MINDÖSSZESEN</t>
  </si>
  <si>
    <t>KIADÁSOK</t>
  </si>
  <si>
    <t>MŰKÖDÉSI KÖLTSÉGVETÉSI KIADÁSOK</t>
  </si>
  <si>
    <t>Céltartalék</t>
  </si>
  <si>
    <t>FELHALMOZÁSI KÖLTSÉGVETÉSI KIADÁSOK</t>
  </si>
  <si>
    <t>Beruházások</t>
  </si>
  <si>
    <t>Egyéb felhalmozási kiadások</t>
  </si>
  <si>
    <t>MŰKÖDÉSI FINANSZÍROZÁSI KIADÁSOK</t>
  </si>
  <si>
    <t>Befektetési vagy forgatási célú hitelviszonyt megtestesítő értékpapír vásárlása a vételárban elismert kamat kivételével</t>
  </si>
  <si>
    <t>Hosszú lejáratú hitel tőkeösszegének törlesztése</t>
  </si>
  <si>
    <t>Rövid lejáratú hitel tőkeösszegének törlesztése</t>
  </si>
  <si>
    <t>Kölcsön tőkeösszegének törlesztése</t>
  </si>
  <si>
    <t>Szabad pénzeszközök betétként való visszavonása</t>
  </si>
  <si>
    <t>Pénzügyi lízing lízingbevevői félként a lízíingszerződésben kikötött tőkerész törlesztésére teljesített kiadások</t>
  </si>
  <si>
    <t>Irányító szervi támogatásként folyósított támogatás kiutalása</t>
  </si>
  <si>
    <t>FELHALMOZÁSI FINANSZÍROZÁSI KIADÁSOK</t>
  </si>
  <si>
    <t>KIADÁSOK MINDÖSSZESEN</t>
  </si>
  <si>
    <t xml:space="preserve"> Ezer forintban</t>
  </si>
  <si>
    <t>Felhalmozási finanszírozási kiadások összesen:</t>
  </si>
  <si>
    <t>Felhalmozási finanszírozási bevételek összesen:</t>
  </si>
  <si>
    <t>Működési finanszírozási bevételek összesen:</t>
  </si>
  <si>
    <t>Felhalmozási költségvetési bevételek összesen:</t>
  </si>
  <si>
    <t>Működési finanszírozási kiadások összesen:</t>
  </si>
  <si>
    <t>Családi Vasárnap ( 6 alkalom)</t>
  </si>
  <si>
    <t>Kötelező feladatok
(Mötv. 13. § (1) bekezdés alapján)</t>
  </si>
  <si>
    <t>Feladatmutató 2013. évi
értéke</t>
  </si>
  <si>
    <t xml:space="preserve">Költségvetési kiadási előirányzat                         </t>
  </si>
  <si>
    <t xml:space="preserve">Költségvetési bevételi előirányzat                           </t>
  </si>
  <si>
    <t>Saját bevétel</t>
  </si>
  <si>
    <t>Támogatás Áht-n belülről</t>
  </si>
  <si>
    <t>Átvett pénzeszköz</t>
  </si>
  <si>
    <t>Működési célú</t>
  </si>
  <si>
    <t>Felhalmozási célú</t>
  </si>
  <si>
    <t>Felhalmozási bevételek</t>
  </si>
  <si>
    <t>Településfejlesztés</t>
  </si>
  <si>
    <t>Településrendezés</t>
  </si>
  <si>
    <t>Településüzemeltetés</t>
  </si>
  <si>
    <t xml:space="preserve">  Köztemetők kialakítása és fenntartása</t>
  </si>
  <si>
    <t xml:space="preserve">  Közvilágításról való gondoskodás</t>
  </si>
  <si>
    <t xml:space="preserve"> </t>
  </si>
  <si>
    <t xml:space="preserve">  Kéményseprő-ipari szolgáltatás biztosítása</t>
  </si>
  <si>
    <t xml:space="preserve">  A helyi közutak és tartozékainak kialakítása és fenntartása</t>
  </si>
  <si>
    <t xml:space="preserve">  Közparkok és egyéb közterületek kialakítása és fenntartása</t>
  </si>
  <si>
    <t xml:space="preserve">  Gépjárművek parkolásának biztosítása</t>
  </si>
  <si>
    <t>Közterületek, valamint az önkormányzat tulajdonában álló közintézmény elnevezése</t>
  </si>
  <si>
    <t>Egészségügyi alapellátás</t>
  </si>
  <si>
    <t>Az egészséges életmód segítését célzó szolgáltatások</t>
  </si>
  <si>
    <t>Környezet-egészségügy</t>
  </si>
  <si>
    <t xml:space="preserve">  Köztisztaság</t>
  </si>
  <si>
    <t xml:space="preserve">  Települési környezet tisztaságának biztosítása</t>
  </si>
  <si>
    <t xml:space="preserve">  Rovar-és rágcsáróírtás</t>
  </si>
  <si>
    <t>Óvodai ellátás</t>
  </si>
  <si>
    <t>Kulturális szolgáltatás</t>
  </si>
  <si>
    <t xml:space="preserve">  Nyilvános könyvtári ellátás biztosítása</t>
  </si>
  <si>
    <t xml:space="preserve">  Filmszínház, előadó-művészeti szervezet támogatása</t>
  </si>
  <si>
    <t xml:space="preserve">  A kulturális örökség helyi védelme</t>
  </si>
  <si>
    <t xml:space="preserve">  A helyi közművelődési tevékenység támogatása</t>
  </si>
  <si>
    <t>Szociális, gyermekjóléti szolgáltatások és ellátások</t>
  </si>
  <si>
    <t>Lakás-és helyiséggazdálkodás</t>
  </si>
  <si>
    <t>Helyi környezet-és természetvédelem</t>
  </si>
  <si>
    <t>Vízgazdálkodás</t>
  </si>
  <si>
    <t>Vízkárelhárítás</t>
  </si>
  <si>
    <t>Honvédelem</t>
  </si>
  <si>
    <t>Polgári védelem</t>
  </si>
  <si>
    <t>Katasztrófavédelem</t>
  </si>
  <si>
    <t>Helyi közfoglalkoztatás</t>
  </si>
  <si>
    <t>Helyi adóval, gazdaságszervezéssel és a turizmussal kapcsolatos feladatok</t>
  </si>
  <si>
    <t>A kistermelők, őstermelők számára értékesítési lehetőségeinek biztosítása, ideértve a hétvégi árusítás lehetőségét is</t>
  </si>
  <si>
    <t>Sport, ifjúsági ügyek</t>
  </si>
  <si>
    <t>Nemzetiségi ügyek</t>
  </si>
  <si>
    <t>Közreműködés a település közbiztonságának biztosításában</t>
  </si>
  <si>
    <t>Helyi közösségi közlekedés biztosítása</t>
  </si>
  <si>
    <t>Hulladékgazdálkodás</t>
  </si>
  <si>
    <t>Távhőszolgáltatás</t>
  </si>
  <si>
    <t>Víziközmű szolgáltatás</t>
  </si>
  <si>
    <r>
      <t xml:space="preserve">Az Mötv. a 117-118. §-ai az alábbiakat tartalmazzák:
A feladatfinanszírozási rendszer keretében az Országgyűlés a központi költségvetésről szóló törvényben meghatározott módon a helyi önkormányzatok
a) kötelezően ellátandó, törvényben előírt egyes feladatainak - felhasználási kötöttséggel - a feladatot meghatározó jogszabályban megjelölt közszolgáltatási szintnek megfelelő ellátását </t>
    </r>
    <r>
      <rPr>
        <b/>
        <sz val="16"/>
        <color theme="1"/>
        <rFont val="Times New Roman"/>
        <family val="1"/>
        <charset val="238"/>
      </rPr>
      <t>feladatalapú támogatással biztosítja</t>
    </r>
    <r>
      <rPr>
        <sz val="16"/>
        <color theme="1"/>
        <rFont val="Times New Roman"/>
        <family val="1"/>
        <charset val="238"/>
      </rPr>
      <t xml:space="preserve">, vagy azok ellátásához a feladat, a helyi szükségletek alapján jellemző mutatószámok, illetve a lakosságszám alapján támogatást biztosít,
b) az a) pontba nem tartozó feladatainak ellátásához felhasználási kötöttséggel járó, vagy felhasználási kötöttség nélküli támogatást nyújthat.
A támogatás biztosítása a következő szempontok figyelembe vételével történik:
a) takarékos gazdálkodás,
b) a helyi önkormányzat jogszabályon alapuló, elvárható saját bevétele,
c) a helyi önkormányzat tényleges saját bevétele.
A figyelembe veendő bevételek körét és mértékét törvény határozza meg.
A feladatfinanszírozási rendszernek biztosítania kell a helyi önkormányzatok bevételi érdekeltségének fenntartását.
</t>
    </r>
    <r>
      <rPr>
        <b/>
        <u/>
        <sz val="16"/>
        <color theme="1"/>
        <rFont val="Times New Roman"/>
        <family val="1"/>
        <charset val="238"/>
      </rPr>
      <t xml:space="preserve">A támogatást a helyi önkormányzat éves szinten kizárólag az ellátandó feladatainak kiadásaira fordíthatja.
</t>
    </r>
    <r>
      <rPr>
        <sz val="16"/>
        <color theme="1"/>
        <rFont val="Times New Roman"/>
        <family val="1"/>
        <charset val="238"/>
      </rPr>
      <t xml:space="preserve">Az ettől eltérő felhasználás esetén a helyi önkormányzat köteles a támogatás összegét - az államháztartásról szóló törvényben meghatározott kamatokkal terhelve - a központi költségvetésbe visszafizetni.
</t>
    </r>
  </si>
  <si>
    <t xml:space="preserve">Önként vállalt feladatok                                                                    </t>
  </si>
  <si>
    <t>Működési célú (OEP is)</t>
  </si>
  <si>
    <r>
      <t xml:space="preserve">Az Mötv. 10. §-a szerint az önként vállalt helyi közügyek megoldása nem veszélyeztetheti a törvény által kötelezően előírt önkormányzati feladat- és hatáskörök ellátását,
finanszírozása a </t>
    </r>
    <r>
      <rPr>
        <b/>
        <sz val="16"/>
        <color theme="1"/>
        <rFont val="Times New Roman"/>
        <family val="1"/>
        <charset val="238"/>
      </rPr>
      <t>saját bevételek</t>
    </r>
    <r>
      <rPr>
        <sz val="16"/>
        <color theme="1"/>
        <rFont val="Times New Roman"/>
        <family val="1"/>
        <charset val="238"/>
      </rPr>
      <t>, vagy az erre a célra biztosított külön források terhére lehetséges.</t>
    </r>
  </si>
  <si>
    <t>Államigazgatási feladatok 
(Mötv. 18. § alapján)</t>
  </si>
  <si>
    <r>
      <rPr>
        <b/>
        <sz val="16"/>
        <color theme="1"/>
        <rFont val="Times New Roman"/>
        <family val="1"/>
        <charset val="238"/>
      </rPr>
      <t xml:space="preserve">Államigazgatási feladat- és hatáskörök
</t>
    </r>
    <r>
      <rPr>
        <sz val="16"/>
        <color theme="1"/>
        <rFont val="Times New Roman"/>
        <family val="1"/>
        <charset val="238"/>
      </rPr>
      <t xml:space="preserve">
18. § (1) Ha törvény vagy törvényi felhatalmazáson alapuló kormányrendelet a polgármester, a főpolgármester, a megyei közgyűlés elnöke, valamint a jegyző
a) számára államigazgatási feladat- és hatáskört állapít meg, vagy
b) honvédelmi, polgári védelmi, katasztrófaelhárítási ügyekben az országos államigazgatási feladatok helyi irányításában és végrehajtásában való részvételét rendeli el,
az ellátásukhoz szükséges költségvetési támogatást a központi költségvetés biztosítja.
(2) Ha a polgármester, a főpolgármester, a megyei közgyűlés elnöke, a jegyző az (1) bekezdés szerinti államigazgatási feladat- és hatáskörében jár el, a képviselő-testület, közgyűlés nem utasíthatja, döntését nem bírálhatja felül.
</t>
    </r>
  </si>
  <si>
    <t xml:space="preserve">Vecsés Város Önkormányzat önként vállalt feladatai ellátásának költségvetési forrásai és kiadásai </t>
  </si>
  <si>
    <t>Vecsés Város Önkormányzat államigazgatási feladatai</t>
  </si>
  <si>
    <t>I. Ingatlan bevételi lehetőségek</t>
  </si>
  <si>
    <r>
      <t>(</t>
    </r>
    <r>
      <rPr>
        <i/>
        <sz val="11"/>
        <rFont val="Arial"/>
        <family val="2"/>
        <charset val="238"/>
      </rPr>
      <t>Az eladásra Képviselő-testületi határozat van)</t>
    </r>
  </si>
  <si>
    <t>Hrsz</t>
  </si>
  <si>
    <t>Terület:(nm)</t>
  </si>
  <si>
    <t>Kart-Ring üzletek alatti földterület</t>
  </si>
  <si>
    <t>6025/5-8.</t>
  </si>
  <si>
    <t>518</t>
  </si>
  <si>
    <t>6025/26</t>
  </si>
  <si>
    <t>6 db</t>
  </si>
  <si>
    <t>II. További ingatlan bevételi lehetőségek:</t>
  </si>
  <si>
    <t>- Földterület (szántó)</t>
  </si>
  <si>
    <t>9.189</t>
  </si>
  <si>
    <t>0220/20</t>
  </si>
  <si>
    <t>8.142</t>
  </si>
  <si>
    <t>6115</t>
  </si>
  <si>
    <t>10.395</t>
  </si>
  <si>
    <t>777</t>
  </si>
  <si>
    <t>Földterület ( szántó)</t>
  </si>
  <si>
    <t>0220/19.</t>
  </si>
  <si>
    <t>Földterület a Wass Albert utca mellett (beépítetlen terület)</t>
  </si>
  <si>
    <t>Beépítetlen terület</t>
  </si>
  <si>
    <t>Fő út 112.</t>
  </si>
  <si>
    <t>6133</t>
  </si>
  <si>
    <t>6136</t>
  </si>
  <si>
    <t>6137</t>
  </si>
  <si>
    <t>kb. 220.000 e Ft</t>
  </si>
  <si>
    <t>önkormányzati lakások</t>
  </si>
  <si>
    <t>"Lanyi " terület</t>
  </si>
  <si>
    <t>367/14.</t>
  </si>
  <si>
    <t>87132</t>
  </si>
  <si>
    <t>2013. után</t>
  </si>
  <si>
    <t>Önkormányzaton kívüli EU-s projektekhez történő hozzájárulás 2013. évi előir.</t>
  </si>
  <si>
    <t>Bölcsödei ellátás</t>
  </si>
  <si>
    <t>Idősek gondozása</t>
  </si>
  <si>
    <t>Családsegítő-, és gyermekjóléti szolgálat</t>
  </si>
  <si>
    <t>Étkeztetés</t>
  </si>
  <si>
    <t>A területén hajléktalanná vált személyek ellátásának és rehabilitációjának, valamint a hajléktalanná válás megelőzésének biztosítása</t>
  </si>
  <si>
    <t>Pénzbeli szociális ellátások</t>
  </si>
  <si>
    <t>Feladatalapú támogatás</t>
  </si>
  <si>
    <t>Egyéb működési célú támogatás Áht-n belűlről</t>
  </si>
  <si>
    <t xml:space="preserve">Egyéb felhalmozási célú támogatás Áht-n belűlről </t>
  </si>
  <si>
    <t>Támogatások, kiegészítések központi költségvetéstől</t>
  </si>
  <si>
    <t>Támogatás Áht-n belűlről</t>
  </si>
  <si>
    <t>Munkaadókat terhelő járulék és szociális hozz. Adó</t>
  </si>
  <si>
    <t>Feladatalapú hozzájárulás</t>
  </si>
  <si>
    <t>Elérendő árbevétel kb. :</t>
  </si>
  <si>
    <t>Kötvény kibocsátásból származó fizetési kötelezettség (Óvadék)</t>
  </si>
  <si>
    <t>Működési költségvetési bevételek összesen:</t>
  </si>
  <si>
    <t>Egyéb felhalmozási célú támogatás Áht-n belülről</t>
  </si>
  <si>
    <r>
      <t xml:space="preserve">I/1.Közhatalmi bevétel </t>
    </r>
    <r>
      <rPr>
        <sz val="11"/>
        <rFont val="Times New Roman CE"/>
        <family val="1"/>
        <charset val="238"/>
      </rPr>
      <t>(2.1+…+2.6)</t>
    </r>
  </si>
  <si>
    <t>I. Önkormányzat működési bevételei (2+3+4+5.1)</t>
  </si>
  <si>
    <t>5.1.1</t>
  </si>
  <si>
    <t>5.1.2</t>
  </si>
  <si>
    <t>5.1.3</t>
  </si>
  <si>
    <t>5.1.4</t>
  </si>
  <si>
    <t>5.1.5</t>
  </si>
  <si>
    <t>5.1.6</t>
  </si>
  <si>
    <t>Működési célú támogatás Áht-n belűlről  (5.1.1.+…+5.1.5.)</t>
  </si>
  <si>
    <t>Felhalmozási célú támogatás Áht-n belűlről  (5.2.1.+…+5.2.5.)</t>
  </si>
  <si>
    <t>5.2.1</t>
  </si>
  <si>
    <t>5.2.2</t>
  </si>
  <si>
    <t>5.2.3</t>
  </si>
  <si>
    <t>5.2.4</t>
  </si>
  <si>
    <t>5.2.5</t>
  </si>
  <si>
    <t xml:space="preserve">6. </t>
  </si>
  <si>
    <t>6.1</t>
  </si>
  <si>
    <t>6.2</t>
  </si>
  <si>
    <t>6.3</t>
  </si>
  <si>
    <t xml:space="preserve">8. </t>
  </si>
  <si>
    <t>10.1.</t>
  </si>
  <si>
    <t>10.2.</t>
  </si>
  <si>
    <t>Működési célú pénzügyi műveletek bevételei (11.1.1.+…+.11.1.6.)</t>
  </si>
  <si>
    <t>11.1.1</t>
  </si>
  <si>
    <t>11.1.2</t>
  </si>
  <si>
    <t>11.1.3</t>
  </si>
  <si>
    <t>11.1.4</t>
  </si>
  <si>
    <t>11.1.5</t>
  </si>
  <si>
    <t>11.1.6</t>
  </si>
  <si>
    <t>11.2.1</t>
  </si>
  <si>
    <t>11.2.2</t>
  </si>
  <si>
    <t>11.2.3</t>
  </si>
  <si>
    <t>11.2.4</t>
  </si>
  <si>
    <t>11.2.5</t>
  </si>
  <si>
    <t>11.2.6</t>
  </si>
  <si>
    <t>11.2.7</t>
  </si>
  <si>
    <t>Felhalmozási célú pénzügyi műveletek bevételei (11.2.1.+…+.11.2.7.)</t>
  </si>
  <si>
    <t>BEVÉTELEK ÖSSZESEN: (9+10+11)</t>
  </si>
  <si>
    <t>Összes létszám:</t>
  </si>
  <si>
    <r>
      <t xml:space="preserve">II. Támogatások, kiegészítések központi költségvetéstől </t>
    </r>
    <r>
      <rPr>
        <sz val="11"/>
        <rFont val="Times New Roman CE"/>
        <family val="1"/>
        <charset val="238"/>
      </rPr>
      <t>(4.1+…+4.8.)</t>
    </r>
  </si>
  <si>
    <r>
      <t xml:space="preserve">III. Támogatások államháztartáson belűlről  </t>
    </r>
    <r>
      <rPr>
        <sz val="11"/>
        <rFont val="Times New Roman CE"/>
        <family val="1"/>
        <charset val="238"/>
      </rPr>
      <t>(5.1+5.2)</t>
    </r>
  </si>
  <si>
    <r>
      <t xml:space="preserve">IV. Felhalmozási célú bevételek </t>
    </r>
    <r>
      <rPr>
        <sz val="11"/>
        <rFont val="Times New Roman CE"/>
        <family val="1"/>
        <charset val="238"/>
      </rPr>
      <t>(6.1+…+6.3)</t>
    </r>
  </si>
  <si>
    <r>
      <t xml:space="preserve">V. Átvett pénzeszközök </t>
    </r>
    <r>
      <rPr>
        <sz val="11"/>
        <rFont val="Times New Roman CE"/>
        <family val="1"/>
        <charset val="238"/>
      </rPr>
      <t>(7.1+7.2.)</t>
    </r>
  </si>
  <si>
    <t>VI. Kölcsön (munkavállalónak adott kölcsön) visszatérülése</t>
  </si>
  <si>
    <t>VII. Pénzmaradvány, vállalkozási tevékenység maradványa (10.1.+10.2.)</t>
  </si>
  <si>
    <t>VIII. Finanszírozási célú pénzügyi műveletek bevételei (11.1+11.2.)</t>
  </si>
  <si>
    <t>IX. Kiegyenlítő-, függő-, átfutó bevételek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</si>
  <si>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</si>
  <si>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</si>
  <si>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</si>
  <si>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</si>
  <si>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</si>
  <si>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</si>
  <si>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</si>
  <si>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</si>
  <si>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</si>
  <si>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</si>
  <si>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</si>
  <si>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</si>
  <si>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II. Támogatás Áht-n belűlről (4.1+4.2)</t>
  </si>
  <si>
    <t>Működési célú támogatás Áht-n belűlről (4.1.1.+…+4.1.5.)</t>
  </si>
  <si>
    <t>Felhalmozási célú támogatás Áht-n belűlről  (4.2.1.+…+4.2.5.)</t>
  </si>
  <si>
    <t>6.3.</t>
  </si>
  <si>
    <t>KÖLTSÉGVETÉSI BEVÉTELEK ÖSSZESEN (2+3+4+5+6+7+8)</t>
  </si>
  <si>
    <t>III. Felhalmozási célú bevételek (6.1.+…+.6.3.)</t>
  </si>
  <si>
    <t xml:space="preserve">IV. Átvett pénzeszközök </t>
  </si>
  <si>
    <t>V. Kölcsön (munkavállalónak adott kölcsön visszatérülése)</t>
  </si>
  <si>
    <t>10.2</t>
  </si>
  <si>
    <t>10.3</t>
  </si>
  <si>
    <t>10.4</t>
  </si>
  <si>
    <t>10.5</t>
  </si>
  <si>
    <t>10.6</t>
  </si>
  <si>
    <t>10.7</t>
  </si>
  <si>
    <t>10.8</t>
  </si>
  <si>
    <t>VI. Támogatások,  kiegészítések központi költségvetéstől (5.1.+…+5.8.)</t>
  </si>
  <si>
    <t>VII. Irányító szervtől kapott támogatás</t>
  </si>
  <si>
    <t>11.3</t>
  </si>
  <si>
    <t>13.1.</t>
  </si>
  <si>
    <t>13.2.</t>
  </si>
  <si>
    <t>VIII. Pénzmaradvány, vállalk. tev. maradványa (12.1.+12.2.)</t>
  </si>
  <si>
    <t>IX. Finanszírozási célú pénzügyi műv. bevételei (13.1.+.13.2.)</t>
  </si>
  <si>
    <t>X. Halmozódás kiszűrése</t>
  </si>
  <si>
    <t>XI. Függő, átfutó, kiegyenlítő bevételek</t>
  </si>
  <si>
    <t>II. Támogatások,  kiegészítések (4.1.+…+4.8.)</t>
  </si>
  <si>
    <t>IV. Felhalmozási célú bevételek (6.1.+…+.6.3.)</t>
  </si>
  <si>
    <t>V. Átvett pénzeszközök (7.1.+7.2.)</t>
  </si>
  <si>
    <t>VI. Kölcsön (munkavállalónak adott kölcsön visszatérülése)</t>
  </si>
  <si>
    <t>VII. Pénzmaradvány, vállalk. tev. maradványa (10.1.+10.2.)</t>
  </si>
  <si>
    <t>VIII. Finanszírozási célú pénzügyi műv. bevételei (11.1.+.11.2.)</t>
  </si>
  <si>
    <t>IX. Függő, átfutó, kiegyenlítő bevételek</t>
  </si>
  <si>
    <t>BEVÉTELEK ÖSSZESEN (9+10+11)</t>
  </si>
  <si>
    <t>Mükődési bevétel Állami pénzalaptól</t>
  </si>
  <si>
    <t>Egyéb felhalmozási célú  bevétel</t>
  </si>
  <si>
    <t>Egyéb működési célú támogatás</t>
  </si>
  <si>
    <t>Központi költségvetéstől támogatás</t>
  </si>
  <si>
    <t>Működési célú támogatás Áht-on belülről (5.1.1.+…+5.1.5.)</t>
  </si>
  <si>
    <t>III. Működési célú támogatás Áht-on belülről (5.1+5.2)</t>
  </si>
  <si>
    <t>Felhalmozási célú támogatás Áht-on belülről (5.2.1.+…+5.2.5.)</t>
  </si>
  <si>
    <t>Egyéb felhalmozási célú támogatás</t>
  </si>
  <si>
    <t>Műkösési célú támogatás Áht-on belülről</t>
  </si>
  <si>
    <t>Működési célú támogatás</t>
  </si>
  <si>
    <t>Felhalmozási célú bevételek (önerő pályázat)</t>
  </si>
  <si>
    <t>Munkaadót terhelő járulékok és szociális hozzájárulási adó</t>
  </si>
  <si>
    <t>Önkormányzat által folyósított ellátásokra jutó járulák</t>
  </si>
  <si>
    <t>Ápolási díj  járuléka</t>
  </si>
  <si>
    <t xml:space="preserve">Működési célú kiadások helyi önkormányzatkoknak </t>
  </si>
  <si>
    <t>Működési célú  kiadás Többcélú Kistérségi Társulásnak</t>
  </si>
  <si>
    <t>Működési célú  kiadás a Vecsési Egészségügyi Szolgálatnak önkormányzati támogatás</t>
  </si>
  <si>
    <t>Működési célú  kiadás az önállóan működő intézményeknek önkormányzati támogatás</t>
  </si>
  <si>
    <t>Működési célú  kiadás az önállóan működő intézményeknek feladatalapú támogatás</t>
  </si>
  <si>
    <t>Működési célú  kiadás Polgármesteri Hivatalnak önkormányzati támogatás</t>
  </si>
  <si>
    <t>Működési célú  kiadás Polgármesteri Hivatalnak feladatalapú támogatás</t>
  </si>
  <si>
    <t>II. Támogatás Áht-on belülről (2.1.+…+2.4.)</t>
  </si>
  <si>
    <t>Működési bevétel Áht-on belülről</t>
  </si>
  <si>
    <t>Felhalmozási bevétel Áht-on belülről</t>
  </si>
  <si>
    <t xml:space="preserve"> működési bevételek önállóan működő intézményeknél (normatíva)</t>
  </si>
  <si>
    <t>Működési bevételek Elkül.állami pénzalap</t>
  </si>
  <si>
    <t>Működési bevételek Egyéb nem önk.</t>
  </si>
  <si>
    <t>Működési bevételek Társulattól</t>
  </si>
  <si>
    <t>Felhalmozási bevételek ÁH belülről</t>
  </si>
  <si>
    <t>Felhalmozási bevételek ÁH kivülről</t>
  </si>
  <si>
    <t>2.1.6</t>
  </si>
  <si>
    <t>2.1.7</t>
  </si>
  <si>
    <t>2.1.8</t>
  </si>
  <si>
    <t xml:space="preserve">Vecsés Város Önkormányzat 2013. évi kötelező feladatai ellátásának költségvetési forrásai és kiadásai </t>
  </si>
  <si>
    <t>Önkormányzati hozzájárulás</t>
  </si>
  <si>
    <t>Iskolák működtetése</t>
  </si>
  <si>
    <t>Polgármesteri hivatal működtetése</t>
  </si>
  <si>
    <t>Városüzemeltetés</t>
  </si>
  <si>
    <t>tényleges</t>
  </si>
  <si>
    <t>Tény</t>
  </si>
  <si>
    <t>Kiadás összesen:</t>
  </si>
  <si>
    <t>Feladatalapú támogatás+központosított támogatás</t>
  </si>
  <si>
    <t>Működési támogatás ÁHT-n belül</t>
  </si>
  <si>
    <t>Felhalmozási támogatás ÁHT-n belül</t>
  </si>
  <si>
    <t>Bevétel összesen:</t>
  </si>
  <si>
    <t>Anyakönyv</t>
  </si>
  <si>
    <t>Hagyaték</t>
  </si>
  <si>
    <t>Birtokvédelem</t>
  </si>
  <si>
    <t>Működési engedélyek</t>
  </si>
  <si>
    <t>Telepengedély</t>
  </si>
  <si>
    <t>Segélyek</t>
  </si>
  <si>
    <t>Oktatás</t>
  </si>
  <si>
    <t>Építéshatóság</t>
  </si>
  <si>
    <t>Egészségügyi szakellátás (Egészségügyi Szolgálat)</t>
  </si>
  <si>
    <t>Zeneiskola működtetése (Önkormányzat)</t>
  </si>
  <si>
    <t>Jelzőrendszeres házi segítségnyújtás (Gondozási Központ)</t>
  </si>
  <si>
    <t>Sérült gyerekek oktatásához hozzájárulás (Önkormányzat)</t>
  </si>
  <si>
    <t>Alapítványok támogatása (Önkormányzat)</t>
  </si>
  <si>
    <t>Társadalmi szervek támogatása (Önkormányzat)</t>
  </si>
  <si>
    <t>Egyéb támogatások (Önkormányzat)</t>
  </si>
  <si>
    <t>Hitelekkel kapcsolatos költségek (Önkormányzat)</t>
  </si>
  <si>
    <t>Banki egyéb költségek (Önkormányzat)</t>
  </si>
  <si>
    <t>Általános tartalék (Önkormányzat)</t>
  </si>
  <si>
    <t>Működési céltartalék (Önkormányzat)</t>
  </si>
  <si>
    <t>Felhalmozási céltartalék (Önkormányzat)</t>
  </si>
  <si>
    <t>Felújítások (Önkormányzat)</t>
  </si>
  <si>
    <t>Beruházások (Önkormányzat)</t>
  </si>
  <si>
    <t>Beruházások (Polgármesteri Hivatal)</t>
  </si>
  <si>
    <t>1.3+1.4+1.5</t>
  </si>
  <si>
    <t>Felhalmozási kiadások összesen:</t>
  </si>
  <si>
    <t>KÖLTSÉGVETÉSI BEVÉTELEK ÖSSZESEN: (1.+5.2+6+7+8)</t>
  </si>
  <si>
    <t>Felhalmozási célú támogatás  Áht-on belülről</t>
  </si>
  <si>
    <t>Támogatás Áht-on belülről</t>
  </si>
  <si>
    <t>Pénzeszköz átadás</t>
  </si>
  <si>
    <t>Bálint Ágnes Mesefesztivál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</si>
</sst>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yyyy\-mm\-dd"/>
    <numFmt numFmtId="167" formatCode="mmm\ d/"/>
    <numFmt numFmtId="168" formatCode="#,##0.0"/>
    <numFmt numFmtId="169" formatCode="_-* #,##0\ _F_t_-;\-* #,##0\ _F_t_-;_-* \-??\ _F_t_-;_-@_-"/>
    <numFmt numFmtId="170" formatCode="#"/>
    <numFmt numFmtId="171" formatCode="#,##0\ _F_t"/>
    <numFmt numFmtId="172" formatCode="#,##0_ ;\-#,##0\ "/>
    <numFmt numFmtId="173" formatCode="0.0"/>
    <numFmt numFmtId="174" formatCode="#,##0.0\ _F_t"/>
    <numFmt numFmtId="175" formatCode="_-* #,##0\ _F_t_-;\-* #,##0\ _F_t_-;_-* &quot;-&quot;??\ _F_t_-;_-@_-"/>
    <numFmt numFmtId="176" formatCode="#&quot; &quot;???/???"/>
  </numFmts>
  <fonts count="109" x14ac:knownFonts="1"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sz val="8"/>
      <name val="Times New Roman CE"/>
      <family val="1"/>
      <charset val="238"/>
    </font>
    <font>
      <b/>
      <sz val="13"/>
      <name val="Arial"/>
      <family val="2"/>
      <charset val="238"/>
    </font>
    <font>
      <i/>
      <sz val="11"/>
      <name val="Times New Roman CE"/>
      <family val="1"/>
      <charset val="238"/>
    </font>
    <font>
      <b/>
      <sz val="11"/>
      <color indexed="10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13"/>
      <name val="Times New Roman"/>
      <family val="1"/>
      <charset val="238"/>
    </font>
    <font>
      <b/>
      <sz val="12"/>
      <color indexed="10"/>
      <name val="Times New Roman CE"/>
      <family val="1"/>
      <charset val="238"/>
    </font>
    <font>
      <sz val="8"/>
      <color indexed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12"/>
      <color indexed="1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i/>
      <sz val="8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9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3"/>
      <name val="Times New Roman"/>
      <family val="1"/>
      <charset val="238"/>
    </font>
    <font>
      <sz val="13"/>
      <name val="Arial"/>
      <family val="2"/>
      <charset val="238"/>
    </font>
    <font>
      <i/>
      <sz val="11"/>
      <name val="Times New Roman"/>
      <family val="1"/>
      <charset val="238"/>
    </font>
    <font>
      <i/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9"/>
      <name val="Times New Roman CE"/>
      <family val="1"/>
      <charset val="238"/>
    </font>
    <font>
      <i/>
      <sz val="13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i/>
      <sz val="12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1"/>
      <name val="MS Sans Serif"/>
      <family val="2"/>
      <charset val="238"/>
    </font>
    <font>
      <b/>
      <sz val="12"/>
      <name val="MS Sans Serif"/>
      <family val="2"/>
      <charset val="238"/>
    </font>
    <font>
      <b/>
      <sz val="13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1"/>
      <name val="Times New Roman CE"/>
      <charset val="238"/>
    </font>
    <font>
      <sz val="16"/>
      <name val="Times New Roman CE"/>
      <family val="1"/>
      <charset val="238"/>
    </font>
    <font>
      <sz val="12"/>
      <name val="Times New Roman CE"/>
      <charset val="238"/>
    </font>
    <font>
      <b/>
      <sz val="18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i/>
      <sz val="9"/>
      <name val="Times New Roman CE"/>
      <charset val="238"/>
    </font>
    <font>
      <sz val="9"/>
      <name val="Times New Roman CE"/>
      <charset val="238"/>
    </font>
    <font>
      <sz val="12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C00000"/>
      <name val="Times New Roman CE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4"/>
      <name val="Times New Roman CE"/>
      <charset val="238"/>
    </font>
    <font>
      <sz val="13"/>
      <name val="Times New Roman CE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10"/>
      <name val="Arial"/>
      <charset val="238"/>
    </font>
    <font>
      <b/>
      <u/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6"/>
        <bgColor indexed="42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31"/>
      </patternFill>
    </fill>
    <fill>
      <patternFill patternType="solid">
        <fgColor indexed="31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Horizontal"/>
    </fill>
    <fill>
      <patternFill patternType="gray0625"/>
    </fill>
  </fills>
  <borders count="20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69" fillId="0" borderId="0" applyFill="0" applyBorder="0" applyAlignment="0" applyProtection="0"/>
    <xf numFmtId="164" fontId="69" fillId="0" borderId="0" applyFill="0" applyBorder="0" applyAlignment="0" applyProtection="0"/>
    <xf numFmtId="164" fontId="69" fillId="0" borderId="0" applyFill="0" applyBorder="0" applyAlignment="0" applyProtection="0"/>
    <xf numFmtId="43" fontId="7" fillId="0" borderId="0" applyFont="0" applyFill="0" applyBorder="0" applyAlignment="0" applyProtection="0"/>
    <xf numFmtId="164" fontId="69" fillId="0" borderId="0" applyFill="0" applyBorder="0" applyAlignment="0" applyProtection="0"/>
    <xf numFmtId="164" fontId="69" fillId="0" borderId="0" applyFill="0" applyBorder="0" applyAlignment="0" applyProtection="0"/>
    <xf numFmtId="164" fontId="69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1" fillId="0" borderId="0"/>
    <xf numFmtId="0" fontId="69" fillId="0" borderId="0"/>
    <xf numFmtId="0" fontId="69" fillId="0" borderId="0"/>
    <xf numFmtId="0" fontId="8" fillId="0" borderId="0"/>
    <xf numFmtId="0" fontId="4" fillId="0" borderId="0"/>
    <xf numFmtId="0" fontId="9" fillId="0" borderId="0"/>
    <xf numFmtId="0" fontId="10" fillId="0" borderId="0"/>
    <xf numFmtId="0" fontId="10" fillId="0" borderId="0"/>
    <xf numFmtId="0" fontId="3" fillId="0" borderId="0"/>
    <xf numFmtId="0" fontId="75" fillId="0" borderId="0"/>
    <xf numFmtId="0" fontId="4" fillId="0" borderId="0"/>
    <xf numFmtId="0" fontId="2" fillId="0" borderId="0"/>
    <xf numFmtId="0" fontId="98" fillId="0" borderId="0"/>
    <xf numFmtId="0" fontId="1" fillId="0" borderId="0"/>
  </cellStyleXfs>
  <cellXfs count="1686">
    <xf numFmtId="0" fontId="0" fillId="0" borderId="0" xfId="0"/>
    <xf numFmtId="0" fontId="11" fillId="0" borderId="0" xfId="21" applyFont="1" applyFill="1" applyAlignment="1">
      <alignment horizontal="left"/>
    </xf>
    <xf numFmtId="0" fontId="10" fillId="0" borderId="0" xfId="21" applyFill="1"/>
    <xf numFmtId="0" fontId="12" fillId="0" borderId="1" xfId="21" applyFont="1" applyFill="1" applyBorder="1" applyAlignment="1" applyProtection="1">
      <alignment horizontal="left" vertical="center"/>
    </xf>
    <xf numFmtId="0" fontId="13" fillId="0" borderId="2" xfId="21" applyFont="1" applyFill="1" applyBorder="1" applyAlignment="1" applyProtection="1">
      <alignment horizontal="center" vertical="center" wrapText="1"/>
    </xf>
    <xf numFmtId="0" fontId="13" fillId="0" borderId="3" xfId="21" applyFont="1" applyFill="1" applyBorder="1" applyAlignment="1" applyProtection="1">
      <alignment horizontal="center" vertical="center" wrapText="1"/>
    </xf>
    <xf numFmtId="0" fontId="14" fillId="0" borderId="0" xfId="21" applyFont="1" applyFill="1"/>
    <xf numFmtId="0" fontId="15" fillId="2" borderId="0" xfId="10" applyFont="1" applyFill="1" applyBorder="1" applyAlignment="1">
      <alignment horizontal="center"/>
    </xf>
    <xf numFmtId="0" fontId="12" fillId="0" borderId="4" xfId="21" applyFont="1" applyFill="1" applyBorder="1" applyAlignment="1" applyProtection="1">
      <alignment horizontal="left" vertical="center"/>
    </xf>
    <xf numFmtId="0" fontId="12" fillId="0" borderId="5" xfId="21" applyFont="1" applyFill="1" applyBorder="1" applyAlignment="1" applyProtection="1">
      <alignment horizontal="left" vertical="center" wrapText="1" indent="1"/>
    </xf>
    <xf numFmtId="3" fontId="12" fillId="0" borderId="6" xfId="21" applyNumberFormat="1" applyFont="1" applyFill="1" applyBorder="1" applyAlignment="1" applyProtection="1">
      <alignment horizontal="right" vertical="center" wrapText="1"/>
    </xf>
    <xf numFmtId="0" fontId="11" fillId="0" borderId="0" xfId="21" applyFont="1" applyFill="1"/>
    <xf numFmtId="0" fontId="12" fillId="0" borderId="2" xfId="21" applyFont="1" applyFill="1" applyBorder="1" applyAlignment="1" applyProtection="1">
      <alignment horizontal="left" vertical="center" wrapText="1" indent="1"/>
    </xf>
    <xf numFmtId="3" fontId="12" fillId="0" borderId="7" xfId="21" applyNumberFormat="1" applyFont="1" applyFill="1" applyBorder="1" applyAlignment="1" applyProtection="1">
      <alignment horizontal="right" vertical="center" wrapText="1"/>
      <protection locked="0"/>
    </xf>
    <xf numFmtId="49" fontId="11" fillId="0" borderId="8" xfId="21" applyNumberFormat="1" applyFont="1" applyFill="1" applyBorder="1" applyAlignment="1" applyProtection="1">
      <alignment horizontal="left" vertical="center"/>
    </xf>
    <xf numFmtId="0" fontId="11" fillId="0" borderId="9" xfId="21" applyFont="1" applyFill="1" applyBorder="1" applyAlignment="1" applyProtection="1">
      <alignment horizontal="left" vertical="center" wrapText="1" indent="1"/>
    </xf>
    <xf numFmtId="3" fontId="11" fillId="0" borderId="10" xfId="21" applyNumberFormat="1" applyFont="1" applyFill="1" applyBorder="1" applyAlignment="1" applyProtection="1">
      <alignment horizontal="right" vertical="center" wrapText="1"/>
      <protection locked="0"/>
    </xf>
    <xf numFmtId="3" fontId="12" fillId="0" borderId="7" xfId="21" applyNumberFormat="1" applyFont="1" applyFill="1" applyBorder="1" applyAlignment="1" applyProtection="1">
      <alignment horizontal="right" vertical="center" wrapText="1"/>
    </xf>
    <xf numFmtId="49" fontId="11" fillId="0" borderId="11" xfId="21" applyNumberFormat="1" applyFont="1" applyFill="1" applyBorder="1" applyAlignment="1" applyProtection="1">
      <alignment horizontal="left" vertical="center"/>
    </xf>
    <xf numFmtId="0" fontId="11" fillId="0" borderId="12" xfId="21" applyFont="1" applyFill="1" applyBorder="1" applyAlignment="1" applyProtection="1">
      <alignment horizontal="left" vertical="center" wrapText="1" indent="1"/>
    </xf>
    <xf numFmtId="3" fontId="11" fillId="0" borderId="13" xfId="21" applyNumberFormat="1" applyFont="1" applyFill="1" applyBorder="1" applyAlignment="1" applyProtection="1">
      <alignment horizontal="right" vertical="center" wrapText="1"/>
      <protection locked="0"/>
    </xf>
    <xf numFmtId="49" fontId="11" fillId="0" borderId="14" xfId="21" applyNumberFormat="1" applyFont="1" applyFill="1" applyBorder="1" applyAlignment="1" applyProtection="1">
      <alignment horizontal="left" vertical="center"/>
    </xf>
    <xf numFmtId="0" fontId="11" fillId="0" borderId="15" xfId="21" applyFont="1" applyFill="1" applyBorder="1" applyAlignment="1" applyProtection="1">
      <alignment horizontal="left" vertical="center" wrapText="1" indent="1"/>
    </xf>
    <xf numFmtId="49" fontId="11" fillId="0" borderId="16" xfId="21" applyNumberFormat="1" applyFont="1" applyFill="1" applyBorder="1" applyAlignment="1" applyProtection="1">
      <alignment horizontal="left" vertical="center"/>
    </xf>
    <xf numFmtId="0" fontId="11" fillId="0" borderId="17" xfId="21" applyFont="1" applyFill="1" applyBorder="1" applyAlignment="1" applyProtection="1">
      <alignment horizontal="left" vertical="center" wrapText="1" indent="1"/>
    </xf>
    <xf numFmtId="3" fontId="12" fillId="0" borderId="18" xfId="21" applyNumberFormat="1" applyFont="1" applyFill="1" applyBorder="1" applyAlignment="1" applyProtection="1">
      <alignment horizontal="right" vertical="center" wrapText="1"/>
    </xf>
    <xf numFmtId="49" fontId="11" fillId="0" borderId="19" xfId="21" applyNumberFormat="1" applyFont="1" applyFill="1" applyBorder="1" applyAlignment="1" applyProtection="1">
      <alignment horizontal="left" vertical="center"/>
    </xf>
    <xf numFmtId="0" fontId="11" fillId="0" borderId="20" xfId="21" applyFont="1" applyFill="1" applyBorder="1" applyAlignment="1" applyProtection="1">
      <alignment horizontal="left" vertical="center" wrapText="1" indent="1"/>
    </xf>
    <xf numFmtId="3" fontId="11" fillId="0" borderId="21" xfId="21" applyNumberFormat="1" applyFont="1" applyFill="1" applyBorder="1" applyAlignment="1" applyProtection="1">
      <alignment horizontal="right" vertical="center" wrapText="1"/>
      <protection locked="0"/>
    </xf>
    <xf numFmtId="49" fontId="11" fillId="0" borderId="22" xfId="21" applyNumberFormat="1" applyFont="1" applyFill="1" applyBorder="1" applyAlignment="1" applyProtection="1">
      <alignment horizontal="left" vertical="center"/>
    </xf>
    <xf numFmtId="0" fontId="16" fillId="0" borderId="20" xfId="21" applyFont="1" applyFill="1" applyBorder="1" applyAlignment="1" applyProtection="1">
      <alignment horizontal="left" vertical="center" wrapText="1" indent="1"/>
    </xf>
    <xf numFmtId="3" fontId="11" fillId="0" borderId="21" xfId="21" applyNumberFormat="1" applyFont="1" applyFill="1" applyBorder="1" applyAlignment="1" applyProtection="1">
      <alignment horizontal="right" vertical="center" wrapText="1"/>
    </xf>
    <xf numFmtId="0" fontId="11" fillId="0" borderId="9" xfId="21" applyFont="1" applyFill="1" applyBorder="1" applyAlignment="1" applyProtection="1">
      <alignment horizontal="left" vertical="center" wrapText="1" indent="2"/>
    </xf>
    <xf numFmtId="49" fontId="11" fillId="0" borderId="23" xfId="21" applyNumberFormat="1" applyFont="1" applyFill="1" applyBorder="1" applyAlignment="1" applyProtection="1">
      <alignment horizontal="left" vertical="center"/>
    </xf>
    <xf numFmtId="0" fontId="11" fillId="0" borderId="24" xfId="21" applyFont="1" applyFill="1" applyBorder="1" applyAlignment="1" applyProtection="1">
      <alignment horizontal="left" vertical="center" wrapText="1" indent="2"/>
    </xf>
    <xf numFmtId="3" fontId="11" fillId="0" borderId="18" xfId="21" applyNumberFormat="1" applyFont="1" applyFill="1" applyBorder="1" applyAlignment="1" applyProtection="1">
      <alignment horizontal="right" vertical="center" wrapText="1"/>
    </xf>
    <xf numFmtId="0" fontId="11" fillId="0" borderId="0" xfId="21" applyFont="1" applyFill="1" applyAlignment="1" applyProtection="1">
      <alignment horizontal="left" indent="1"/>
    </xf>
    <xf numFmtId="3" fontId="11" fillId="0" borderId="25" xfId="21" applyNumberFormat="1" applyFont="1" applyFill="1" applyBorder="1" applyAlignment="1" applyProtection="1">
      <alignment horizontal="right" vertical="center" wrapText="1"/>
      <protection locked="0"/>
    </xf>
    <xf numFmtId="3" fontId="11" fillId="0" borderId="7" xfId="21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21" applyFont="1" applyFill="1"/>
    <xf numFmtId="0" fontId="18" fillId="0" borderId="2" xfId="21" applyFont="1" applyFill="1" applyBorder="1" applyAlignment="1" applyProtection="1">
      <alignment horizontal="left" vertical="center" wrapText="1" indent="1"/>
    </xf>
    <xf numFmtId="3" fontId="18" fillId="0" borderId="7" xfId="21" applyNumberFormat="1" applyFont="1" applyFill="1" applyBorder="1" applyAlignment="1" applyProtection="1">
      <alignment horizontal="right" vertical="center" wrapText="1"/>
    </xf>
    <xf numFmtId="49" fontId="12" fillId="0" borderId="1" xfId="21" applyNumberFormat="1" applyFont="1" applyFill="1" applyBorder="1" applyAlignment="1" applyProtection="1">
      <alignment horizontal="left" vertical="center"/>
    </xf>
    <xf numFmtId="3" fontId="11" fillId="0" borderId="18" xfId="21" applyNumberFormat="1" applyFont="1" applyFill="1" applyBorder="1" applyAlignment="1" applyProtection="1">
      <alignment horizontal="right" vertical="center" wrapText="1"/>
      <protection locked="0"/>
    </xf>
    <xf numFmtId="3" fontId="16" fillId="0" borderId="25" xfId="21" applyNumberFormat="1" applyFont="1" applyFill="1" applyBorder="1" applyAlignment="1" applyProtection="1">
      <alignment horizontal="right" vertical="center" wrapText="1"/>
    </xf>
    <xf numFmtId="0" fontId="11" fillId="0" borderId="20" xfId="21" applyFont="1" applyFill="1" applyBorder="1" applyAlignment="1" applyProtection="1">
      <alignment horizontal="left" vertical="center" wrapText="1" indent="2"/>
    </xf>
    <xf numFmtId="3" fontId="11" fillId="0" borderId="26" xfId="21" applyNumberFormat="1" applyFont="1" applyFill="1" applyBorder="1" applyAlignment="1" applyProtection="1">
      <alignment horizontal="right" vertical="center" wrapText="1"/>
      <protection locked="0"/>
    </xf>
    <xf numFmtId="3" fontId="16" fillId="0" borderId="26" xfId="21" applyNumberFormat="1" applyFont="1" applyFill="1" applyBorder="1" applyAlignment="1" applyProtection="1">
      <alignment horizontal="right" vertical="center" wrapText="1"/>
    </xf>
    <xf numFmtId="0" fontId="11" fillId="0" borderId="27" xfId="21" applyFont="1" applyFill="1" applyBorder="1" applyAlignment="1" applyProtection="1">
      <alignment horizontal="left" vertical="center" wrapText="1" indent="2"/>
    </xf>
    <xf numFmtId="3" fontId="11" fillId="0" borderId="28" xfId="21" applyNumberFormat="1" applyFont="1" applyFill="1" applyBorder="1" applyAlignment="1" applyProtection="1">
      <alignment horizontal="right" vertical="center" wrapText="1"/>
      <protection locked="0"/>
    </xf>
    <xf numFmtId="0" fontId="12" fillId="2" borderId="1" xfId="21" applyFont="1" applyFill="1" applyBorder="1" applyAlignment="1" applyProtection="1">
      <alignment horizontal="left" vertical="center"/>
    </xf>
    <xf numFmtId="0" fontId="13" fillId="2" borderId="2" xfId="21" applyFont="1" applyFill="1" applyBorder="1" applyAlignment="1" applyProtection="1">
      <alignment vertical="center" wrapText="1"/>
    </xf>
    <xf numFmtId="3" fontId="13" fillId="2" borderId="7" xfId="21" applyNumberFormat="1" applyFont="1" applyFill="1" applyBorder="1" applyAlignment="1" applyProtection="1">
      <alignment vertical="center" wrapText="1"/>
    </xf>
    <xf numFmtId="0" fontId="0" fillId="0" borderId="29" xfId="21" applyFont="1" applyFill="1" applyBorder="1"/>
    <xf numFmtId="0" fontId="0" fillId="0" borderId="0" xfId="21" applyFont="1" applyFill="1"/>
    <xf numFmtId="0" fontId="19" fillId="2" borderId="0" xfId="10" applyFont="1" applyFill="1" applyBorder="1" applyAlignment="1">
      <alignment horizontal="center"/>
    </xf>
    <xf numFmtId="0" fontId="12" fillId="0" borderId="5" xfId="21" applyFont="1" applyFill="1" applyBorder="1" applyAlignment="1" applyProtection="1">
      <alignment vertical="center" wrapText="1"/>
    </xf>
    <xf numFmtId="3" fontId="12" fillId="0" borderId="2" xfId="21" applyNumberFormat="1" applyFont="1" applyFill="1" applyBorder="1" applyAlignment="1" applyProtection="1">
      <alignment vertical="center" wrapText="1"/>
    </xf>
    <xf numFmtId="3" fontId="12" fillId="0" borderId="7" xfId="21" applyNumberFormat="1" applyFont="1" applyFill="1" applyBorder="1" applyAlignment="1" applyProtection="1">
      <alignment vertical="center" wrapText="1"/>
    </xf>
    <xf numFmtId="3" fontId="11" fillId="0" borderId="21" xfId="21" applyNumberFormat="1" applyFont="1" applyFill="1" applyBorder="1" applyAlignment="1" applyProtection="1">
      <alignment vertical="center" wrapText="1"/>
      <protection locked="0"/>
    </xf>
    <xf numFmtId="3" fontId="11" fillId="0" borderId="10" xfId="21" applyNumberFormat="1" applyFont="1" applyFill="1" applyBorder="1" applyAlignment="1" applyProtection="1">
      <alignment vertical="center" wrapText="1"/>
      <protection locked="0"/>
    </xf>
    <xf numFmtId="0" fontId="11" fillId="0" borderId="0" xfId="21" applyFont="1" applyFill="1" applyBorder="1" applyAlignment="1" applyProtection="1">
      <alignment horizontal="left" vertical="center" wrapText="1" indent="1"/>
    </xf>
    <xf numFmtId="49" fontId="11" fillId="0" borderId="9" xfId="21" applyNumberFormat="1" applyFont="1" applyFill="1" applyBorder="1" applyAlignment="1" applyProtection="1">
      <alignment horizontal="left" vertical="center"/>
    </xf>
    <xf numFmtId="0" fontId="11" fillId="0" borderId="9" xfId="21" applyFont="1" applyFill="1" applyBorder="1" applyAlignment="1" applyProtection="1">
      <alignment horizontal="left" indent="2"/>
    </xf>
    <xf numFmtId="0" fontId="11" fillId="0" borderId="9" xfId="21" applyFont="1" applyFill="1" applyBorder="1" applyAlignment="1" applyProtection="1">
      <alignment horizontal="left" wrapText="1" indent="4"/>
    </xf>
    <xf numFmtId="3" fontId="11" fillId="0" borderId="25" xfId="21" applyNumberFormat="1" applyFont="1" applyFill="1" applyBorder="1" applyAlignment="1" applyProtection="1">
      <alignment vertical="center" wrapText="1"/>
      <protection locked="0"/>
    </xf>
    <xf numFmtId="3" fontId="11" fillId="0" borderId="18" xfId="21" applyNumberFormat="1" applyFont="1" applyFill="1" applyBorder="1" applyAlignment="1" applyProtection="1">
      <alignment vertical="center" wrapText="1"/>
      <protection locked="0"/>
    </xf>
    <xf numFmtId="0" fontId="12" fillId="0" borderId="2" xfId="21" applyFont="1" applyFill="1" applyBorder="1" applyAlignment="1" applyProtection="1">
      <alignment vertical="center" wrapText="1"/>
    </xf>
    <xf numFmtId="0" fontId="11" fillId="0" borderId="9" xfId="21" applyFont="1" applyFill="1" applyBorder="1" applyAlignment="1" applyProtection="1">
      <alignment horizontal="left" wrapText="1" indent="2"/>
    </xf>
    <xf numFmtId="3" fontId="11" fillId="0" borderId="26" xfId="21" applyNumberFormat="1" applyFont="1" applyFill="1" applyBorder="1" applyAlignment="1" applyProtection="1">
      <alignment vertical="center" wrapText="1"/>
      <protection locked="0"/>
    </xf>
    <xf numFmtId="3" fontId="12" fillId="0" borderId="7" xfId="21" applyNumberFormat="1" applyFont="1" applyFill="1" applyBorder="1" applyAlignment="1" applyProtection="1">
      <alignment vertical="center" wrapText="1"/>
      <protection locked="0"/>
    </xf>
    <xf numFmtId="0" fontId="11" fillId="0" borderId="13" xfId="21" applyFont="1" applyFill="1" applyBorder="1"/>
    <xf numFmtId="3" fontId="11" fillId="0" borderId="10" xfId="21" applyNumberFormat="1" applyFont="1" applyFill="1" applyBorder="1" applyAlignment="1" applyProtection="1">
      <alignment vertical="center" wrapText="1"/>
    </xf>
    <xf numFmtId="3" fontId="11" fillId="3" borderId="18" xfId="21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21" applyFont="1" applyFill="1"/>
    <xf numFmtId="0" fontId="13" fillId="0" borderId="0" xfId="21" applyFont="1" applyFill="1"/>
    <xf numFmtId="0" fontId="21" fillId="0" borderId="0" xfId="21" applyFont="1" applyFill="1" applyBorder="1" applyAlignment="1" applyProtection="1">
      <alignment horizontal="left" vertical="center" wrapText="1"/>
    </xf>
    <xf numFmtId="165" fontId="12" fillId="0" borderId="7" xfId="21" applyNumberFormat="1" applyFont="1" applyFill="1" applyBorder="1" applyAlignment="1" applyProtection="1">
      <alignment horizontal="right" vertical="center" wrapText="1"/>
    </xf>
    <xf numFmtId="0" fontId="10" fillId="0" borderId="29" xfId="21" applyFill="1" applyBorder="1"/>
    <xf numFmtId="0" fontId="23" fillId="0" borderId="0" xfId="21" applyFont="1" applyFill="1"/>
    <xf numFmtId="3" fontId="11" fillId="0" borderId="13" xfId="21" applyNumberFormat="1" applyFont="1" applyFill="1" applyBorder="1" applyAlignment="1" applyProtection="1">
      <alignment horizontal="right" vertical="center" wrapText="1"/>
    </xf>
    <xf numFmtId="3" fontId="11" fillId="0" borderId="10" xfId="21" applyNumberFormat="1" applyFont="1" applyFill="1" applyBorder="1" applyAlignment="1" applyProtection="1">
      <alignment horizontal="right" vertical="center" wrapText="1"/>
    </xf>
    <xf numFmtId="0" fontId="11" fillId="0" borderId="9" xfId="21" applyFont="1" applyFill="1" applyBorder="1" applyAlignment="1" applyProtection="1">
      <alignment horizontal="left" wrapText="1" indent="5"/>
    </xf>
    <xf numFmtId="3" fontId="11" fillId="0" borderId="25" xfId="21" applyNumberFormat="1" applyFont="1" applyFill="1" applyBorder="1" applyAlignment="1" applyProtection="1">
      <alignment horizontal="right" vertical="center" wrapText="1"/>
    </xf>
    <xf numFmtId="0" fontId="11" fillId="0" borderId="27" xfId="21" applyFont="1" applyFill="1" applyBorder="1" applyAlignment="1" applyProtection="1">
      <alignment horizontal="left" vertical="center" wrapText="1" indent="1"/>
    </xf>
    <xf numFmtId="3" fontId="11" fillId="0" borderId="26" xfId="21" applyNumberFormat="1" applyFont="1" applyFill="1" applyBorder="1" applyAlignment="1" applyProtection="1">
      <alignment horizontal="right" vertical="center" wrapText="1"/>
    </xf>
    <xf numFmtId="0" fontId="11" fillId="0" borderId="24" xfId="21" applyFont="1" applyFill="1" applyBorder="1" applyAlignment="1" applyProtection="1">
      <alignment horizontal="left" wrapText="1" indent="5"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12" fillId="0" borderId="30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Alignment="1">
      <alignment horizontal="center" vertical="center" wrapText="1"/>
    </xf>
    <xf numFmtId="165" fontId="26" fillId="0" borderId="0" xfId="0" applyNumberFormat="1" applyFont="1" applyFill="1" applyAlignment="1">
      <alignment horizontal="center" vertical="center" wrapText="1"/>
    </xf>
    <xf numFmtId="165" fontId="11" fillId="0" borderId="31" xfId="0" applyNumberFormat="1" applyFont="1" applyFill="1" applyBorder="1" applyAlignment="1">
      <alignment horizontal="left" vertical="center" wrapText="1" indent="1"/>
    </xf>
    <xf numFmtId="165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0" xfId="0" applyNumberFormat="1" applyFont="1" applyFill="1" applyBorder="1" applyAlignment="1" applyProtection="1">
      <alignment vertical="center" wrapText="1"/>
      <protection locked="0"/>
    </xf>
    <xf numFmtId="165" fontId="11" fillId="0" borderId="21" xfId="0" applyNumberFormat="1" applyFont="1" applyFill="1" applyBorder="1" applyAlignment="1" applyProtection="1">
      <alignment vertical="center" wrapText="1"/>
      <protection locked="0"/>
    </xf>
    <xf numFmtId="165" fontId="11" fillId="0" borderId="32" xfId="0" applyNumberFormat="1" applyFont="1" applyFill="1" applyBorder="1" applyAlignment="1">
      <alignment horizontal="left" vertical="center" wrapText="1" indent="1"/>
    </xf>
    <xf numFmtId="165" fontId="11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9" xfId="0" applyNumberFormat="1" applyFont="1" applyFill="1" applyBorder="1" applyAlignment="1" applyProtection="1">
      <alignment vertical="center" wrapText="1"/>
      <protection locked="0"/>
    </xf>
    <xf numFmtId="165" fontId="11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10" xfId="0" applyNumberFormat="1" applyFont="1" applyFill="1" applyBorder="1" applyAlignment="1" applyProtection="1">
      <alignment vertical="center" wrapText="1"/>
      <protection locked="0"/>
    </xf>
    <xf numFmtId="165" fontId="11" fillId="0" borderId="33" xfId="0" applyNumberFormat="1" applyFont="1" applyFill="1" applyBorder="1" applyAlignment="1" applyProtection="1">
      <alignment vertical="center" wrapText="1"/>
      <protection locked="0"/>
    </xf>
    <xf numFmtId="165" fontId="11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27" xfId="0" applyNumberFormat="1" applyFont="1" applyFill="1" applyBorder="1" applyAlignment="1" applyProtection="1">
      <alignment vertical="center" wrapText="1"/>
      <protection locked="0"/>
    </xf>
    <xf numFmtId="165" fontId="11" fillId="0" borderId="26" xfId="0" applyNumberFormat="1" applyFont="1" applyFill="1" applyBorder="1" applyAlignment="1" applyProtection="1">
      <alignment vertical="center" wrapText="1"/>
      <protection locked="0"/>
    </xf>
    <xf numFmtId="165" fontId="12" fillId="0" borderId="30" xfId="0" applyNumberFormat="1" applyFont="1" applyFill="1" applyBorder="1" applyAlignment="1">
      <alignment horizontal="left" vertical="center" wrapText="1" indent="1"/>
    </xf>
    <xf numFmtId="165" fontId="12" fillId="0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2" xfId="0" applyNumberFormat="1" applyFont="1" applyFill="1" applyBorder="1" applyAlignment="1" applyProtection="1">
      <alignment vertical="center" wrapText="1"/>
    </xf>
    <xf numFmtId="165" fontId="12" fillId="0" borderId="1" xfId="0" applyNumberFormat="1" applyFont="1" applyFill="1" applyBorder="1" applyAlignment="1" applyProtection="1">
      <alignment horizontal="left" vertical="center" wrapText="1" indent="1"/>
    </xf>
    <xf numFmtId="165" fontId="12" fillId="0" borderId="7" xfId="0" applyNumberFormat="1" applyFont="1" applyFill="1" applyBorder="1" applyAlignment="1" applyProtection="1">
      <alignment vertical="center" wrapText="1"/>
    </xf>
    <xf numFmtId="165" fontId="12" fillId="0" borderId="34" xfId="0" applyNumberFormat="1" applyFont="1" applyFill="1" applyBorder="1" applyAlignment="1">
      <alignment horizontal="left" vertical="center" wrapText="1" indent="1"/>
    </xf>
    <xf numFmtId="165" fontId="12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15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5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32" xfId="0" applyNumberFormat="1" applyFont="1" applyFill="1" applyBorder="1" applyAlignment="1">
      <alignment horizontal="left" vertical="center" wrapText="1" indent="1"/>
    </xf>
    <xf numFmtId="165" fontId="1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34" xfId="0" applyNumberFormat="1" applyFont="1" applyFill="1" applyBorder="1" applyAlignment="1">
      <alignment horizontal="left" vertical="center" wrapText="1" indent="1"/>
    </xf>
    <xf numFmtId="165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0" xfId="0" applyNumberFormat="1" applyFont="1" applyFill="1" applyAlignment="1">
      <alignment horizontal="center" vertical="center" wrapText="1"/>
    </xf>
    <xf numFmtId="165" fontId="11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1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35" xfId="0" applyNumberFormat="1" applyFont="1" applyFill="1" applyBorder="1" applyAlignment="1">
      <alignment horizontal="left" vertical="center" wrapText="1" indent="1"/>
    </xf>
    <xf numFmtId="165" fontId="11" fillId="0" borderId="27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13" fillId="0" borderId="30" xfId="0" applyNumberFormat="1" applyFont="1" applyFill="1" applyBorder="1" applyAlignment="1">
      <alignment horizontal="left" vertical="center" wrapText="1" indent="1"/>
    </xf>
    <xf numFmtId="165" fontId="13" fillId="0" borderId="1" xfId="0" applyNumberFormat="1" applyFont="1" applyFill="1" applyBorder="1" applyAlignment="1">
      <alignment horizontal="left" vertical="center" wrapText="1" indent="1"/>
    </xf>
    <xf numFmtId="165" fontId="13" fillId="0" borderId="2" xfId="0" applyNumberFormat="1" applyFont="1" applyFill="1" applyBorder="1" applyAlignment="1" applyProtection="1">
      <alignment vertical="center" wrapText="1"/>
    </xf>
    <xf numFmtId="165" fontId="13" fillId="0" borderId="7" xfId="0" applyNumberFormat="1" applyFont="1" applyFill="1" applyBorder="1" applyAlignment="1" applyProtection="1">
      <alignment vertical="center" wrapText="1"/>
    </xf>
    <xf numFmtId="165" fontId="13" fillId="0" borderId="2" xfId="0" applyNumberFormat="1" applyFont="1" applyFill="1" applyBorder="1" applyAlignment="1" applyProtection="1">
      <alignment horizontal="right" vertical="center" wrapText="1"/>
    </xf>
    <xf numFmtId="165" fontId="13" fillId="0" borderId="7" xfId="0" applyNumberFormat="1" applyFont="1" applyFill="1" applyBorder="1" applyAlignment="1" applyProtection="1">
      <alignment horizontal="right" vertical="center" wrapText="1"/>
    </xf>
    <xf numFmtId="165" fontId="20" fillId="0" borderId="0" xfId="0" applyNumberFormat="1" applyFont="1" applyFill="1" applyAlignment="1">
      <alignment vertical="center" wrapText="1"/>
    </xf>
    <xf numFmtId="165" fontId="27" fillId="0" borderId="0" xfId="0" applyNumberFormat="1" applyFont="1" applyFill="1" applyAlignment="1">
      <alignment horizontal="left"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28" fillId="0" borderId="36" xfId="0" applyNumberFormat="1" applyFont="1" applyFill="1" applyBorder="1" applyAlignment="1">
      <alignment horizontal="left" vertical="center" wrapText="1"/>
    </xf>
    <xf numFmtId="165" fontId="13" fillId="0" borderId="36" xfId="0" applyNumberFormat="1" applyFont="1" applyFill="1" applyBorder="1" applyAlignment="1" applyProtection="1">
      <alignment vertical="center" wrapText="1"/>
    </xf>
    <xf numFmtId="165" fontId="13" fillId="0" borderId="0" xfId="0" applyNumberFormat="1" applyFont="1" applyFill="1" applyBorder="1" applyAlignment="1" applyProtection="1">
      <alignment vertical="center" wrapText="1"/>
    </xf>
    <xf numFmtId="165" fontId="0" fillId="0" borderId="0" xfId="0" applyNumberFormat="1" applyFill="1" applyBorder="1" applyAlignment="1">
      <alignment vertical="center" wrapText="1"/>
    </xf>
    <xf numFmtId="165" fontId="28" fillId="0" borderId="33" xfId="0" applyNumberFormat="1" applyFont="1" applyFill="1" applyBorder="1" applyAlignment="1">
      <alignment horizontal="left" vertical="center" wrapText="1"/>
    </xf>
    <xf numFmtId="3" fontId="28" fillId="0" borderId="37" xfId="0" applyNumberFormat="1" applyFont="1" applyFill="1" applyBorder="1" applyAlignment="1">
      <alignment horizontal="right" vertical="center" wrapText="1"/>
    </xf>
    <xf numFmtId="165" fontId="11" fillId="0" borderId="31" xfId="0" applyNumberFormat="1" applyFont="1" applyFill="1" applyBorder="1" applyAlignment="1">
      <alignment horizontal="right" vertical="center" wrapText="1" indent="1"/>
    </xf>
    <xf numFmtId="165" fontId="11" fillId="0" borderId="32" xfId="0" applyNumberFormat="1" applyFont="1" applyFill="1" applyBorder="1" applyAlignment="1">
      <alignment horizontal="right" vertical="center" wrapText="1" indent="1"/>
    </xf>
    <xf numFmtId="165" fontId="12" fillId="0" borderId="30" xfId="0" applyNumberFormat="1" applyFont="1" applyFill="1" applyBorder="1" applyAlignment="1">
      <alignment horizontal="right" vertical="center" wrapText="1" indent="1"/>
    </xf>
    <xf numFmtId="165" fontId="12" fillId="0" borderId="31" xfId="0" applyNumberFormat="1" applyFont="1" applyFill="1" applyBorder="1" applyAlignment="1">
      <alignment horizontal="right" vertical="center" wrapText="1" indent="1"/>
    </xf>
    <xf numFmtId="165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35" xfId="0" applyNumberFormat="1" applyFont="1" applyFill="1" applyBorder="1" applyAlignment="1">
      <alignment horizontal="right" vertical="center" wrapText="1" indent="1"/>
    </xf>
    <xf numFmtId="165" fontId="1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5" fontId="11" fillId="0" borderId="7" xfId="0" applyNumberFormat="1" applyFont="1" applyFill="1" applyBorder="1" applyAlignment="1" applyProtection="1">
      <alignment vertical="center" wrapText="1"/>
    </xf>
    <xf numFmtId="165" fontId="13" fillId="0" borderId="30" xfId="0" applyNumberFormat="1" applyFont="1" applyFill="1" applyBorder="1" applyAlignment="1">
      <alignment horizontal="right" vertical="center" wrapText="1" indent="1"/>
    </xf>
    <xf numFmtId="165" fontId="13" fillId="0" borderId="2" xfId="0" applyNumberFormat="1" applyFont="1" applyFill="1" applyBorder="1" applyAlignment="1">
      <alignment vertical="center" wrapText="1"/>
    </xf>
    <xf numFmtId="165" fontId="13" fillId="0" borderId="7" xfId="0" applyNumberFormat="1" applyFont="1" applyFill="1" applyBorder="1" applyAlignment="1">
      <alignment vertical="center" wrapText="1"/>
    </xf>
    <xf numFmtId="165" fontId="13" fillId="0" borderId="16" xfId="0" applyNumberFormat="1" applyFont="1" applyFill="1" applyBorder="1" applyAlignment="1">
      <alignment horizontal="left" vertical="center" wrapText="1" indent="1"/>
    </xf>
    <xf numFmtId="165" fontId="13" fillId="0" borderId="17" xfId="0" applyNumberFormat="1" applyFont="1" applyFill="1" applyBorder="1" applyAlignment="1" applyProtection="1">
      <alignment horizontal="right" vertical="center" wrapText="1"/>
    </xf>
    <xf numFmtId="165" fontId="13" fillId="0" borderId="28" xfId="0" applyNumberFormat="1" applyFont="1" applyFill="1" applyBorder="1" applyAlignment="1" applyProtection="1">
      <alignment horizontal="right" vertical="center" wrapText="1"/>
    </xf>
    <xf numFmtId="165" fontId="24" fillId="0" borderId="0" xfId="0" applyNumberFormat="1" applyFont="1" applyFill="1" applyAlignment="1">
      <alignment textRotation="180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165" fontId="13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horizontal="right"/>
    </xf>
    <xf numFmtId="0" fontId="25" fillId="0" borderId="0" xfId="0" applyFont="1" applyFill="1" applyAlignment="1">
      <alignment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9" fillId="0" borderId="38" xfId="0" applyFont="1" applyFill="1" applyBorder="1" applyAlignment="1" applyProtection="1">
      <alignment horizontal="center" vertical="center" wrapText="1"/>
    </xf>
    <xf numFmtId="0" fontId="29" fillId="0" borderId="39" xfId="0" applyFont="1" applyFill="1" applyBorder="1" applyAlignment="1" applyProtection="1">
      <alignment horizontal="center" vertical="center" wrapText="1"/>
    </xf>
    <xf numFmtId="0" fontId="28" fillId="0" borderId="39" xfId="0" applyFont="1" applyFill="1" applyBorder="1" applyAlignment="1" applyProtection="1">
      <alignment horizontal="center" vertical="center" wrapText="1"/>
    </xf>
    <xf numFmtId="165" fontId="29" fillId="0" borderId="40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left" vertical="center" wrapText="1" indent="1"/>
    </xf>
    <xf numFmtId="0" fontId="16" fillId="0" borderId="0" xfId="0" applyFont="1" applyFill="1" applyAlignment="1">
      <alignment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left" vertical="center" wrapText="1" indent="1"/>
    </xf>
    <xf numFmtId="0" fontId="11" fillId="0" borderId="0" xfId="0" applyFont="1" applyFill="1" applyAlignment="1">
      <alignment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left" vertical="center" wrapText="1" indent="1"/>
    </xf>
    <xf numFmtId="165" fontId="11" fillId="0" borderId="25" xfId="0" applyNumberFormat="1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</xf>
    <xf numFmtId="3" fontId="11" fillId="0" borderId="6" xfId="0" applyNumberFormat="1" applyFont="1" applyFill="1" applyBorder="1" applyAlignment="1" applyProtection="1">
      <alignment vertical="center" wrapText="1"/>
      <protection locked="0"/>
    </xf>
    <xf numFmtId="0" fontId="12" fillId="0" borderId="22" xfId="0" applyFont="1" applyFill="1" applyBorder="1" applyAlignment="1" applyProtection="1">
      <alignment horizontal="center" vertical="center" wrapText="1"/>
    </xf>
    <xf numFmtId="49" fontId="11" fillId="0" borderId="27" xfId="0" applyNumberFormat="1" applyFont="1" applyFill="1" applyBorder="1" applyAlignment="1" applyProtection="1">
      <alignment horizontal="center" vertical="center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165" fontId="11" fillId="0" borderId="13" xfId="0" applyNumberFormat="1" applyFont="1" applyFill="1" applyBorder="1" applyAlignment="1" applyProtection="1">
      <alignment vertical="center" wrapText="1"/>
      <protection locked="0"/>
    </xf>
    <xf numFmtId="165" fontId="11" fillId="0" borderId="18" xfId="0" applyNumberFormat="1" applyFont="1" applyFill="1" applyBorder="1" applyAlignment="1" applyProtection="1">
      <alignment vertical="center" wrapText="1"/>
      <protection locked="0"/>
    </xf>
    <xf numFmtId="49" fontId="11" fillId="0" borderId="12" xfId="21" applyNumberFormat="1" applyFont="1" applyFill="1" applyBorder="1" applyAlignment="1" applyProtection="1">
      <alignment horizontal="left" vertical="center" wrapText="1" indent="1"/>
    </xf>
    <xf numFmtId="49" fontId="11" fillId="0" borderId="9" xfId="21" applyNumberFormat="1" applyFont="1" applyFill="1" applyBorder="1" applyAlignment="1" applyProtection="1">
      <alignment horizontal="left" vertical="center" wrapText="1" indent="1"/>
    </xf>
    <xf numFmtId="3" fontId="11" fillId="0" borderId="0" xfId="0" applyNumberFormat="1" applyFont="1" applyFill="1" applyAlignment="1">
      <alignment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49" fontId="11" fillId="0" borderId="24" xfId="21" applyNumberFormat="1" applyFont="1" applyFill="1" applyBorder="1" applyAlignment="1" applyProtection="1">
      <alignment horizontal="left" vertical="center" wrapText="1" indent="1"/>
    </xf>
    <xf numFmtId="0" fontId="12" fillId="0" borderId="19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30" fillId="0" borderId="41" xfId="0" applyFont="1" applyBorder="1" applyAlignment="1" applyProtection="1">
      <alignment horizontal="left" wrapText="1" indent="1"/>
    </xf>
    <xf numFmtId="165" fontId="12" fillId="0" borderId="42" xfId="0" applyNumberFormat="1" applyFont="1" applyFill="1" applyBorder="1" applyAlignment="1" applyProtection="1">
      <alignment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</xf>
    <xf numFmtId="49" fontId="12" fillId="0" borderId="2" xfId="21" applyNumberFormat="1" applyFont="1" applyFill="1" applyBorder="1" applyAlignment="1" applyProtection="1">
      <alignment horizontal="left" vertical="center" wrapText="1" indent="1"/>
    </xf>
    <xf numFmtId="165" fontId="12" fillId="0" borderId="42" xfId="0" applyNumberFormat="1" applyFont="1" applyFill="1" applyBorder="1" applyAlignment="1" applyProtection="1">
      <alignment vertical="center" wrapText="1"/>
    </xf>
    <xf numFmtId="165" fontId="11" fillId="0" borderId="43" xfId="0" applyNumberFormat="1" applyFont="1" applyFill="1" applyBorder="1" applyAlignment="1" applyProtection="1">
      <alignment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</xf>
    <xf numFmtId="0" fontId="32" fillId="0" borderId="2" xfId="0" applyFont="1" applyBorder="1" applyAlignment="1" applyProtection="1">
      <alignment horizontal="center" wrapText="1"/>
    </xf>
    <xf numFmtId="0" fontId="33" fillId="0" borderId="19" xfId="0" applyFont="1" applyBorder="1" applyAlignment="1" applyProtection="1">
      <alignment horizontal="center" wrapText="1"/>
    </xf>
    <xf numFmtId="49" fontId="11" fillId="0" borderId="5" xfId="21" applyNumberFormat="1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Alignment="1">
      <alignment vertical="center" wrapText="1"/>
    </xf>
    <xf numFmtId="0" fontId="33" fillId="0" borderId="22" xfId="0" applyFont="1" applyBorder="1" applyAlignment="1" applyProtection="1">
      <alignment horizontal="center" wrapText="1"/>
    </xf>
    <xf numFmtId="49" fontId="11" fillId="0" borderId="27" xfId="21" applyNumberFormat="1" applyFont="1" applyFill="1" applyBorder="1" applyAlignment="1" applyProtection="1">
      <alignment horizontal="left" vertical="center" wrapText="1" indent="1"/>
    </xf>
    <xf numFmtId="0" fontId="11" fillId="0" borderId="27" xfId="0" applyFont="1" applyFill="1" applyBorder="1" applyAlignment="1" applyProtection="1">
      <alignment horizontal="left" vertical="center" wrapText="1" indent="1"/>
    </xf>
    <xf numFmtId="3" fontId="12" fillId="0" borderId="7" xfId="0" applyNumberFormat="1" applyFont="1" applyFill="1" applyBorder="1" applyAlignment="1" applyProtection="1">
      <alignment vertical="center" wrapText="1"/>
      <protection locked="0"/>
    </xf>
    <xf numFmtId="0" fontId="34" fillId="0" borderId="2" xfId="0" applyFont="1" applyBorder="1" applyAlignment="1" applyProtection="1">
      <alignment horizontal="center" wrapText="1"/>
    </xf>
    <xf numFmtId="0" fontId="30" fillId="0" borderId="2" xfId="10" applyFont="1" applyBorder="1"/>
    <xf numFmtId="0" fontId="35" fillId="0" borderId="41" xfId="0" applyFont="1" applyBorder="1" applyAlignment="1" applyProtection="1">
      <alignment horizontal="center" wrapText="1"/>
    </xf>
    <xf numFmtId="0" fontId="36" fillId="0" borderId="41" xfId="0" applyFont="1" applyBorder="1" applyAlignment="1" applyProtection="1">
      <alignment horizontal="left" wrapText="1" indent="1"/>
    </xf>
    <xf numFmtId="0" fontId="12" fillId="0" borderId="44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28" fillId="0" borderId="45" xfId="0" applyFont="1" applyFill="1" applyBorder="1" applyAlignment="1" applyProtection="1">
      <alignment horizontal="center" vertical="center" wrapText="1"/>
    </xf>
    <xf numFmtId="165" fontId="12" fillId="0" borderId="42" xfId="0" applyNumberFormat="1" applyFont="1" applyFill="1" applyBorder="1" applyAlignment="1" applyProtection="1">
      <alignment horizontal="center" vertical="center" wrapText="1"/>
    </xf>
    <xf numFmtId="3" fontId="11" fillId="4" borderId="0" xfId="0" applyNumberFormat="1" applyFont="1" applyFill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49" fontId="11" fillId="0" borderId="20" xfId="21" applyNumberFormat="1" applyFont="1" applyFill="1" applyBorder="1" applyAlignment="1" applyProtection="1">
      <alignment horizontal="left" vertical="center" wrapText="1" indent="1"/>
    </xf>
    <xf numFmtId="0" fontId="24" fillId="0" borderId="0" xfId="0" applyFont="1" applyFill="1" applyAlignment="1">
      <alignment vertical="center" wrapText="1"/>
    </xf>
    <xf numFmtId="0" fontId="11" fillId="0" borderId="9" xfId="21" applyFont="1" applyFill="1" applyBorder="1" applyAlignment="1" applyProtection="1">
      <alignment horizontal="left" indent="6"/>
    </xf>
    <xf numFmtId="49" fontId="11" fillId="0" borderId="15" xfId="21" applyNumberFormat="1" applyFont="1" applyFill="1" applyBorder="1" applyAlignment="1" applyProtection="1">
      <alignment horizontal="left" vertical="center" wrapText="1" indent="1"/>
    </xf>
    <xf numFmtId="0" fontId="11" fillId="0" borderId="15" xfId="21" applyFont="1" applyFill="1" applyBorder="1" applyAlignment="1" applyProtection="1">
      <alignment horizontal="left" vertical="center" wrapText="1" indent="6"/>
    </xf>
    <xf numFmtId="0" fontId="11" fillId="0" borderId="27" xfId="21" applyFont="1" applyFill="1" applyBorder="1" applyAlignment="1" applyProtection="1">
      <alignment horizontal="left" indent="6"/>
    </xf>
    <xf numFmtId="167" fontId="0" fillId="0" borderId="0" xfId="0" applyNumberFormat="1" applyFill="1" applyAlignment="1">
      <alignment vertical="center" wrapText="1"/>
    </xf>
    <xf numFmtId="165" fontId="12" fillId="0" borderId="7" xfId="0" applyNumberFormat="1" applyFont="1" applyFill="1" applyBorder="1" applyAlignment="1" applyProtection="1">
      <alignment vertical="center" wrapText="1"/>
      <protection locked="0"/>
    </xf>
    <xf numFmtId="0" fontId="11" fillId="0" borderId="24" xfId="21" applyFont="1" applyFill="1" applyBorder="1" applyAlignment="1" applyProtection="1">
      <alignment horizontal="left" vertical="center" wrapText="1" indent="1"/>
    </xf>
    <xf numFmtId="49" fontId="11" fillId="0" borderId="2" xfId="21" applyNumberFormat="1" applyFont="1" applyFill="1" applyBorder="1" applyAlignment="1" applyProtection="1">
      <alignment horizontal="left" vertical="center" wrapText="1" indent="1"/>
    </xf>
    <xf numFmtId="165" fontId="18" fillId="0" borderId="7" xfId="0" applyNumberFormat="1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left" vertical="center"/>
    </xf>
    <xf numFmtId="0" fontId="11" fillId="0" borderId="45" xfId="0" applyFont="1" applyFill="1" applyBorder="1" applyAlignment="1" applyProtection="1">
      <alignment vertical="center" wrapText="1"/>
    </xf>
    <xf numFmtId="0" fontId="12" fillId="0" borderId="41" xfId="0" applyFont="1" applyFill="1" applyBorder="1" applyAlignment="1" applyProtection="1">
      <alignment vertical="center" wrapText="1"/>
    </xf>
    <xf numFmtId="4" fontId="12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37" fillId="0" borderId="0" xfId="0" applyNumberFormat="1" applyFont="1" applyFill="1" applyBorder="1" applyAlignment="1" applyProtection="1">
      <alignment vertical="center" wrapText="1"/>
      <protection locked="0"/>
    </xf>
    <xf numFmtId="3" fontId="0" fillId="4" borderId="0" xfId="0" applyNumberFormat="1" applyFill="1" applyAlignment="1">
      <alignment vertical="center" wrapText="1"/>
    </xf>
    <xf numFmtId="0" fontId="29" fillId="0" borderId="46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vertical="center"/>
    </xf>
    <xf numFmtId="3" fontId="29" fillId="0" borderId="40" xfId="0" applyNumberFormat="1" applyFont="1" applyFill="1" applyBorder="1" applyAlignment="1" applyProtection="1">
      <alignment horizontal="center" vertical="center" wrapText="1"/>
    </xf>
    <xf numFmtId="0" fontId="38" fillId="0" borderId="2" xfId="0" applyFont="1" applyFill="1" applyBorder="1" applyAlignment="1" applyProtection="1">
      <alignment horizontal="center" vertical="center" wrapText="1"/>
    </xf>
    <xf numFmtId="3" fontId="12" fillId="0" borderId="7" xfId="0" applyNumberFormat="1" applyFont="1" applyFill="1" applyBorder="1" applyAlignment="1" applyProtection="1">
      <alignment vertical="center" wrapText="1"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3" fontId="11" fillId="0" borderId="25" xfId="0" applyNumberFormat="1" applyFont="1" applyFill="1" applyBorder="1" applyAlignment="1" applyProtection="1">
      <alignment vertical="center" wrapText="1"/>
      <protection locked="0"/>
    </xf>
    <xf numFmtId="3" fontId="11" fillId="0" borderId="13" xfId="0" applyNumberFormat="1" applyFont="1" applyFill="1" applyBorder="1" applyAlignment="1" applyProtection="1">
      <alignment vertical="center" wrapText="1"/>
      <protection locked="0"/>
    </xf>
    <xf numFmtId="3" fontId="11" fillId="0" borderId="26" xfId="0" applyNumberFormat="1" applyFont="1" applyFill="1" applyBorder="1" applyAlignment="1" applyProtection="1">
      <alignment vertical="center" wrapText="1"/>
      <protection locked="0"/>
    </xf>
    <xf numFmtId="3" fontId="11" fillId="0" borderId="13" xfId="0" applyNumberFormat="1" applyFont="1" applyFill="1" applyBorder="1" applyAlignment="1" applyProtection="1">
      <alignment vertical="center" wrapText="1"/>
    </xf>
    <xf numFmtId="3" fontId="11" fillId="0" borderId="10" xfId="0" applyNumberFormat="1" applyFont="1" applyFill="1" applyBorder="1" applyAlignment="1" applyProtection="1">
      <alignment vertical="center" wrapText="1"/>
    </xf>
    <xf numFmtId="3" fontId="11" fillId="0" borderId="18" xfId="0" applyNumberFormat="1" applyFont="1" applyFill="1" applyBorder="1" applyAlignment="1" applyProtection="1">
      <alignment vertical="center" wrapText="1"/>
      <protection locked="0"/>
    </xf>
    <xf numFmtId="3" fontId="11" fillId="0" borderId="21" xfId="0" applyNumberFormat="1" applyFont="1" applyFill="1" applyBorder="1" applyAlignment="1" applyProtection="1">
      <alignment vertical="center" wrapText="1"/>
      <protection locked="0"/>
    </xf>
    <xf numFmtId="3" fontId="12" fillId="0" borderId="42" xfId="0" applyNumberFormat="1" applyFont="1" applyFill="1" applyBorder="1" applyAlignment="1" applyProtection="1">
      <alignment vertical="center" wrapText="1"/>
      <protection locked="0"/>
    </xf>
    <xf numFmtId="0" fontId="31" fillId="0" borderId="41" xfId="0" applyFont="1" applyBorder="1" applyAlignment="1" applyProtection="1">
      <alignment horizontal="left"/>
    </xf>
    <xf numFmtId="3" fontId="18" fillId="0" borderId="42" xfId="0" applyNumberFormat="1" applyFont="1" applyFill="1" applyBorder="1" applyAlignment="1" applyProtection="1">
      <alignment vertical="center" wrapText="1"/>
    </xf>
    <xf numFmtId="3" fontId="12" fillId="0" borderId="42" xfId="0" applyNumberFormat="1" applyFont="1" applyFill="1" applyBorder="1" applyAlignment="1" applyProtection="1">
      <alignment vertical="center" wrapText="1"/>
    </xf>
    <xf numFmtId="3" fontId="11" fillId="0" borderId="43" xfId="0" applyNumberFormat="1" applyFont="1" applyFill="1" applyBorder="1" applyAlignment="1" applyProtection="1">
      <alignment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3" fontId="13" fillId="2" borderId="7" xfId="0" applyNumberFormat="1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left" vertical="center" wrapText="1" indent="1"/>
    </xf>
    <xf numFmtId="165" fontId="12" fillId="0" borderId="0" xfId="0" applyNumberFormat="1" applyFont="1" applyFill="1" applyBorder="1" applyAlignment="1" applyProtection="1">
      <alignment vertical="center" wrapText="1"/>
    </xf>
    <xf numFmtId="0" fontId="26" fillId="0" borderId="44" xfId="0" applyFont="1" applyFill="1" applyBorder="1" applyAlignment="1" applyProtection="1">
      <alignment horizontal="center" vertical="center" wrapText="1"/>
    </xf>
    <xf numFmtId="0" fontId="26" fillId="0" borderId="45" xfId="0" applyFont="1" applyFill="1" applyBorder="1" applyAlignment="1" applyProtection="1">
      <alignment horizontal="center" vertical="center" wrapText="1"/>
    </xf>
    <xf numFmtId="0" fontId="11" fillId="0" borderId="9" xfId="21" applyFont="1" applyFill="1" applyBorder="1" applyAlignment="1" applyProtection="1">
      <alignment horizontal="left" vertical="center" wrapText="1" indent="3"/>
    </xf>
    <xf numFmtId="3" fontId="16" fillId="0" borderId="18" xfId="0" applyNumberFormat="1" applyFont="1" applyFill="1" applyBorder="1" applyAlignment="1" applyProtection="1">
      <alignment vertical="center" wrapText="1"/>
      <protection locked="0"/>
    </xf>
    <xf numFmtId="0" fontId="16" fillId="0" borderId="9" xfId="21" applyFont="1" applyFill="1" applyBorder="1" applyAlignment="1" applyProtection="1">
      <alignment horizontal="left" indent="4"/>
    </xf>
    <xf numFmtId="3" fontId="16" fillId="0" borderId="10" xfId="0" applyNumberFormat="1" applyFont="1" applyFill="1" applyBorder="1" applyAlignment="1" applyProtection="1">
      <alignment vertical="center" wrapText="1"/>
      <protection locked="0"/>
    </xf>
    <xf numFmtId="0" fontId="16" fillId="0" borderId="27" xfId="21" applyFont="1" applyFill="1" applyBorder="1" applyAlignment="1" applyProtection="1">
      <alignment horizontal="left" indent="4"/>
    </xf>
    <xf numFmtId="3" fontId="16" fillId="0" borderId="26" xfId="0" applyNumberFormat="1" applyFont="1" applyFill="1" applyBorder="1" applyAlignment="1" applyProtection="1">
      <alignment vertical="center" wrapText="1"/>
      <protection locked="0"/>
    </xf>
    <xf numFmtId="3" fontId="18" fillId="0" borderId="7" xfId="0" applyNumberFormat="1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168" fontId="12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0"/>
    <xf numFmtId="49" fontId="7" fillId="0" borderId="0" xfId="10" applyNumberFormat="1"/>
    <xf numFmtId="0" fontId="39" fillId="0" borderId="27" xfId="10" applyFont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30" fillId="0" borderId="33" xfId="10" applyFont="1" applyBorder="1"/>
    <xf numFmtId="49" fontId="30" fillId="0" borderId="37" xfId="10" applyNumberFormat="1" applyFont="1" applyBorder="1"/>
    <xf numFmtId="49" fontId="30" fillId="0" borderId="47" xfId="10" applyNumberFormat="1" applyFont="1" applyBorder="1"/>
    <xf numFmtId="0" fontId="40" fillId="0" borderId="9" xfId="10" applyFont="1" applyBorder="1" applyAlignment="1">
      <alignment horizontal="center"/>
    </xf>
    <xf numFmtId="3" fontId="30" fillId="0" borderId="20" xfId="10" applyNumberFormat="1" applyFont="1" applyBorder="1"/>
    <xf numFmtId="3" fontId="19" fillId="2" borderId="20" xfId="10" applyNumberFormat="1" applyFont="1" applyFill="1" applyBorder="1"/>
    <xf numFmtId="0" fontId="41" fillId="0" borderId="33" xfId="10" applyFont="1" applyBorder="1"/>
    <xf numFmtId="49" fontId="19" fillId="0" borderId="37" xfId="10" applyNumberFormat="1" applyFont="1" applyBorder="1"/>
    <xf numFmtId="49" fontId="19" fillId="0" borderId="47" xfId="10" applyNumberFormat="1" applyFont="1" applyBorder="1"/>
    <xf numFmtId="0" fontId="19" fillId="0" borderId="9" xfId="10" applyFont="1" applyBorder="1"/>
    <xf numFmtId="3" fontId="19" fillId="0" borderId="9" xfId="10" applyNumberFormat="1" applyFont="1" applyBorder="1"/>
    <xf numFmtId="0" fontId="42" fillId="0" borderId="0" xfId="10" applyFont="1"/>
    <xf numFmtId="0" fontId="43" fillId="0" borderId="33" xfId="10" applyFont="1" applyBorder="1"/>
    <xf numFmtId="49" fontId="31" fillId="0" borderId="37" xfId="10" applyNumberFormat="1" applyFont="1" applyBorder="1"/>
    <xf numFmtId="49" fontId="31" fillId="0" borderId="47" xfId="10" applyNumberFormat="1" applyFont="1" applyBorder="1"/>
    <xf numFmtId="0" fontId="31" fillId="0" borderId="9" xfId="10" applyFont="1" applyBorder="1"/>
    <xf numFmtId="3" fontId="31" fillId="0" borderId="9" xfId="10" applyNumberFormat="1" applyFont="1" applyBorder="1"/>
    <xf numFmtId="0" fontId="44" fillId="0" borderId="0" xfId="10" applyFont="1"/>
    <xf numFmtId="0" fontId="45" fillId="0" borderId="33" xfId="10" applyFont="1" applyBorder="1"/>
    <xf numFmtId="0" fontId="45" fillId="0" borderId="9" xfId="10" applyFont="1" applyBorder="1"/>
    <xf numFmtId="3" fontId="45" fillId="0" borderId="9" xfId="10" applyNumberFormat="1" applyFont="1" applyBorder="1"/>
    <xf numFmtId="0" fontId="46" fillId="0" borderId="0" xfId="10" applyFont="1"/>
    <xf numFmtId="49" fontId="47" fillId="0" borderId="47" xfId="10" applyNumberFormat="1" applyFont="1" applyBorder="1" applyAlignment="1">
      <alignment horizontal="left"/>
    </xf>
    <xf numFmtId="0" fontId="43" fillId="0" borderId="9" xfId="10" applyFont="1" applyBorder="1"/>
    <xf numFmtId="3" fontId="43" fillId="0" borderId="9" xfId="10" applyNumberFormat="1" applyFont="1" applyBorder="1"/>
    <xf numFmtId="0" fontId="7" fillId="0" borderId="0" xfId="10" applyFont="1"/>
    <xf numFmtId="49" fontId="43" fillId="0" borderId="37" xfId="10" applyNumberFormat="1" applyFont="1" applyBorder="1"/>
    <xf numFmtId="49" fontId="48" fillId="0" borderId="47" xfId="10" applyNumberFormat="1" applyFont="1" applyBorder="1"/>
    <xf numFmtId="49" fontId="47" fillId="0" borderId="47" xfId="10" applyNumberFormat="1" applyFont="1" applyBorder="1"/>
    <xf numFmtId="49" fontId="47" fillId="0" borderId="37" xfId="10" applyNumberFormat="1" applyFont="1" applyBorder="1" applyAlignment="1">
      <alignment horizontal="left"/>
    </xf>
    <xf numFmtId="3" fontId="45" fillId="0" borderId="48" xfId="10" applyNumberFormat="1" applyFont="1" applyBorder="1"/>
    <xf numFmtId="0" fontId="45" fillId="0" borderId="20" xfId="10" applyFont="1" applyBorder="1"/>
    <xf numFmtId="49" fontId="48" fillId="0" borderId="37" xfId="10" applyNumberFormat="1" applyFont="1" applyBorder="1"/>
    <xf numFmtId="0" fontId="45" fillId="0" borderId="9" xfId="10" applyFont="1" applyBorder="1" applyAlignment="1">
      <alignment horizontal="left" indent="3"/>
    </xf>
    <xf numFmtId="3" fontId="19" fillId="5" borderId="20" xfId="10" applyNumberFormat="1" applyFont="1" applyFill="1" applyBorder="1"/>
    <xf numFmtId="49" fontId="19" fillId="0" borderId="37" xfId="10" applyNumberFormat="1" applyFont="1" applyBorder="1" applyAlignment="1">
      <alignment vertical="center"/>
    </xf>
    <xf numFmtId="0" fontId="19" fillId="0" borderId="9" xfId="10" applyFont="1" applyBorder="1" applyAlignment="1">
      <alignment wrapText="1"/>
    </xf>
    <xf numFmtId="167" fontId="43" fillId="0" borderId="33" xfId="10" applyNumberFormat="1" applyFont="1" applyBorder="1"/>
    <xf numFmtId="0" fontId="7" fillId="0" borderId="0" xfId="10" applyFill="1"/>
    <xf numFmtId="0" fontId="19" fillId="2" borderId="33" xfId="10" applyFont="1" applyFill="1" applyBorder="1"/>
    <xf numFmtId="49" fontId="19" fillId="2" borderId="37" xfId="10" applyNumberFormat="1" applyFont="1" applyFill="1" applyBorder="1"/>
    <xf numFmtId="49" fontId="19" fillId="2" borderId="47" xfId="10" applyNumberFormat="1" applyFont="1" applyFill="1" applyBorder="1"/>
    <xf numFmtId="0" fontId="19" fillId="2" borderId="9" xfId="10" applyFont="1" applyFill="1" applyBorder="1"/>
    <xf numFmtId="3" fontId="19" fillId="2" borderId="9" xfId="10" applyNumberFormat="1" applyFont="1" applyFill="1" applyBorder="1"/>
    <xf numFmtId="167" fontId="41" fillId="0" borderId="33" xfId="10" applyNumberFormat="1" applyFont="1" applyBorder="1"/>
    <xf numFmtId="3" fontId="7" fillId="0" borderId="0" xfId="10" applyNumberFormat="1"/>
    <xf numFmtId="0" fontId="51" fillId="2" borderId="33" xfId="10" applyFont="1" applyFill="1" applyBorder="1"/>
    <xf numFmtId="49" fontId="51" fillId="2" borderId="37" xfId="10" applyNumberFormat="1" applyFont="1" applyFill="1" applyBorder="1"/>
    <xf numFmtId="49" fontId="51" fillId="2" borderId="47" xfId="10" applyNumberFormat="1" applyFont="1" applyFill="1" applyBorder="1"/>
    <xf numFmtId="0" fontId="40" fillId="2" borderId="9" xfId="10" applyFont="1" applyFill="1" applyBorder="1"/>
    <xf numFmtId="3" fontId="40" fillId="2" borderId="9" xfId="10" applyNumberFormat="1" applyFont="1" applyFill="1" applyBorder="1"/>
    <xf numFmtId="3" fontId="40" fillId="3" borderId="9" xfId="10" applyNumberFormat="1" applyFont="1" applyFill="1" applyBorder="1"/>
    <xf numFmtId="3" fontId="40" fillId="5" borderId="47" xfId="10" applyNumberFormat="1" applyFont="1" applyFill="1" applyBorder="1" applyAlignment="1">
      <alignment vertical="center"/>
    </xf>
    <xf numFmtId="0" fontId="39" fillId="0" borderId="9" xfId="10" applyFont="1" applyBorder="1" applyAlignment="1">
      <alignment horizontal="center" vertical="center" wrapText="1"/>
    </xf>
    <xf numFmtId="0" fontId="52" fillId="0" borderId="0" xfId="10" applyFont="1" applyBorder="1" applyAlignment="1">
      <alignment horizontal="center"/>
    </xf>
    <xf numFmtId="3" fontId="19" fillId="2" borderId="47" xfId="10" applyNumberFormat="1" applyFont="1" applyFill="1" applyBorder="1" applyAlignment="1">
      <alignment horizontal="center"/>
    </xf>
    <xf numFmtId="3" fontId="19" fillId="2" borderId="0" xfId="10" applyNumberFormat="1" applyFont="1" applyFill="1" applyBorder="1"/>
    <xf numFmtId="0" fontId="45" fillId="0" borderId="49" xfId="10" applyFont="1" applyBorder="1"/>
    <xf numFmtId="49" fontId="30" fillId="0" borderId="50" xfId="10" applyNumberFormat="1" applyFont="1" applyBorder="1"/>
    <xf numFmtId="49" fontId="30" fillId="0" borderId="51" xfId="10" applyNumberFormat="1" applyFont="1" applyBorder="1"/>
    <xf numFmtId="0" fontId="30" fillId="0" borderId="20" xfId="10" applyFont="1" applyBorder="1"/>
    <xf numFmtId="49" fontId="45" fillId="0" borderId="50" xfId="10" applyNumberFormat="1" applyFont="1" applyBorder="1"/>
    <xf numFmtId="49" fontId="45" fillId="0" borderId="51" xfId="10" applyNumberFormat="1" applyFont="1" applyBorder="1"/>
    <xf numFmtId="3" fontId="45" fillId="0" borderId="20" xfId="10" applyNumberFormat="1" applyFont="1" applyBorder="1"/>
    <xf numFmtId="3" fontId="7" fillId="0" borderId="0" xfId="10" applyNumberFormat="1" applyFont="1"/>
    <xf numFmtId="0" fontId="30" fillId="0" borderId="9" xfId="10" applyFont="1" applyBorder="1"/>
    <xf numFmtId="3" fontId="30" fillId="0" borderId="9" xfId="10" applyNumberFormat="1" applyFont="1" applyBorder="1"/>
    <xf numFmtId="0" fontId="43" fillId="0" borderId="33" xfId="10" applyFont="1" applyFill="1" applyBorder="1"/>
    <xf numFmtId="49" fontId="31" fillId="0" borderId="37" xfId="10" applyNumberFormat="1" applyFont="1" applyFill="1" applyBorder="1"/>
    <xf numFmtId="49" fontId="45" fillId="0" borderId="51" xfId="10" applyNumberFormat="1" applyFont="1" applyFill="1" applyBorder="1"/>
    <xf numFmtId="0" fontId="45" fillId="0" borderId="20" xfId="10" applyFont="1" applyFill="1" applyBorder="1"/>
    <xf numFmtId="3" fontId="45" fillId="0" borderId="20" xfId="10" applyNumberFormat="1" applyFont="1" applyFill="1" applyBorder="1"/>
    <xf numFmtId="3" fontId="44" fillId="0" borderId="0" xfId="10" applyNumberFormat="1" applyFont="1"/>
    <xf numFmtId="49" fontId="45" fillId="0" borderId="37" xfId="10" applyNumberFormat="1" applyFont="1" applyBorder="1"/>
    <xf numFmtId="49" fontId="45" fillId="0" borderId="47" xfId="10" applyNumberFormat="1" applyFont="1" applyBorder="1"/>
    <xf numFmtId="49" fontId="43" fillId="0" borderId="47" xfId="10" applyNumberFormat="1" applyFont="1" applyBorder="1"/>
    <xf numFmtId="0" fontId="24" fillId="0" borderId="9" xfId="10" applyFont="1" applyFill="1" applyBorder="1" applyAlignment="1">
      <alignment horizontal="left" vertical="center" wrapText="1"/>
    </xf>
    <xf numFmtId="3" fontId="43" fillId="0" borderId="9" xfId="10" applyNumberFormat="1" applyFont="1" applyFill="1" applyBorder="1"/>
    <xf numFmtId="3" fontId="45" fillId="0" borderId="9" xfId="10" applyNumberFormat="1" applyFont="1" applyFill="1" applyBorder="1"/>
    <xf numFmtId="0" fontId="45" fillId="0" borderId="9" xfId="10" applyFont="1" applyFill="1" applyBorder="1" applyAlignment="1">
      <alignment vertical="center" wrapText="1"/>
    </xf>
    <xf numFmtId="0" fontId="53" fillId="0" borderId="0" xfId="10" applyFont="1"/>
    <xf numFmtId="3" fontId="53" fillId="0" borderId="0" xfId="10" applyNumberFormat="1" applyFont="1"/>
    <xf numFmtId="0" fontId="30" fillId="3" borderId="33" xfId="10" applyFont="1" applyFill="1" applyBorder="1"/>
    <xf numFmtId="49" fontId="30" fillId="3" borderId="37" xfId="10" applyNumberFormat="1" applyFont="1" applyFill="1" applyBorder="1"/>
    <xf numFmtId="49" fontId="45" fillId="3" borderId="47" xfId="10" applyNumberFormat="1" applyFont="1" applyFill="1" applyBorder="1"/>
    <xf numFmtId="0" fontId="45" fillId="3" borderId="9" xfId="10" applyFont="1" applyFill="1" applyBorder="1" applyAlignment="1">
      <alignment vertical="center" wrapText="1"/>
    </xf>
    <xf numFmtId="3" fontId="45" fillId="3" borderId="9" xfId="10" applyNumberFormat="1" applyFont="1" applyFill="1" applyBorder="1"/>
    <xf numFmtId="0" fontId="53" fillId="3" borderId="0" xfId="10" applyFont="1" applyFill="1"/>
    <xf numFmtId="3" fontId="53" fillId="3" borderId="0" xfId="10" applyNumberFormat="1" applyFont="1" applyFill="1"/>
    <xf numFmtId="0" fontId="30" fillId="0" borderId="33" xfId="10" applyFont="1" applyFill="1" applyBorder="1"/>
    <xf numFmtId="49" fontId="30" fillId="0" borderId="37" xfId="10" applyNumberFormat="1" applyFont="1" applyFill="1" applyBorder="1"/>
    <xf numFmtId="49" fontId="45" fillId="0" borderId="47" xfId="10" applyNumberFormat="1" applyFont="1" applyFill="1" applyBorder="1"/>
    <xf numFmtId="0" fontId="0" fillId="0" borderId="9" xfId="10" applyFont="1" applyFill="1" applyBorder="1" applyAlignment="1">
      <alignment horizontal="left" vertical="center" wrapText="1"/>
    </xf>
    <xf numFmtId="0" fontId="11" fillId="0" borderId="9" xfId="10" applyFont="1" applyFill="1" applyBorder="1" applyAlignment="1">
      <alignment horizontal="justify" vertical="center" wrapText="1"/>
    </xf>
    <xf numFmtId="0" fontId="30" fillId="0" borderId="52" xfId="10" applyFont="1" applyBorder="1"/>
    <xf numFmtId="49" fontId="30" fillId="0" borderId="39" xfId="10" applyNumberFormat="1" applyFont="1" applyBorder="1"/>
    <xf numFmtId="0" fontId="11" fillId="0" borderId="27" xfId="10" applyFont="1" applyFill="1" applyBorder="1" applyAlignment="1">
      <alignment vertical="center" wrapText="1"/>
    </xf>
    <xf numFmtId="3" fontId="45" fillId="0" borderId="27" xfId="10" applyNumberFormat="1" applyFont="1" applyBorder="1"/>
    <xf numFmtId="0" fontId="11" fillId="0" borderId="27" xfId="10" applyFont="1" applyFill="1" applyBorder="1" applyAlignment="1">
      <alignment horizontal="justify" vertical="center" wrapText="1"/>
    </xf>
    <xf numFmtId="0" fontId="24" fillId="0" borderId="9" xfId="10" applyFont="1" applyFill="1" applyBorder="1" applyAlignment="1">
      <alignment horizontal="left" vertical="center" wrapText="1" indent="2"/>
    </xf>
    <xf numFmtId="3" fontId="43" fillId="0" borderId="27" xfId="10" applyNumberFormat="1" applyFont="1" applyBorder="1"/>
    <xf numFmtId="49" fontId="30" fillId="0" borderId="53" xfId="10" applyNumberFormat="1" applyFont="1" applyBorder="1"/>
    <xf numFmtId="0" fontId="12" fillId="0" borderId="27" xfId="10" applyFont="1" applyFill="1" applyBorder="1" applyAlignment="1">
      <alignment vertical="center" wrapText="1"/>
    </xf>
    <xf numFmtId="3" fontId="30" fillId="0" borderId="27" xfId="10" applyNumberFormat="1" applyFont="1" applyBorder="1"/>
    <xf numFmtId="49" fontId="45" fillId="0" borderId="53" xfId="10" applyNumberFormat="1" applyFont="1" applyBorder="1"/>
    <xf numFmtId="0" fontId="16" fillId="3" borderId="27" xfId="10" applyFont="1" applyFill="1" applyBorder="1" applyAlignment="1">
      <alignment vertical="center" wrapText="1"/>
    </xf>
    <xf numFmtId="3" fontId="43" fillId="3" borderId="27" xfId="10" applyNumberFormat="1" applyFont="1" applyFill="1" applyBorder="1"/>
    <xf numFmtId="0" fontId="45" fillId="0" borderId="33" xfId="10" applyFont="1" applyFill="1" applyBorder="1"/>
    <xf numFmtId="49" fontId="30" fillId="0" borderId="47" xfId="10" applyNumberFormat="1" applyFont="1" applyFill="1" applyBorder="1"/>
    <xf numFmtId="0" fontId="30" fillId="0" borderId="9" xfId="10" applyFont="1" applyFill="1" applyBorder="1"/>
    <xf numFmtId="3" fontId="30" fillId="0" borderId="9" xfId="10" applyNumberFormat="1" applyFont="1" applyFill="1" applyBorder="1"/>
    <xf numFmtId="3" fontId="19" fillId="5" borderId="9" xfId="10" applyNumberFormat="1" applyFont="1" applyFill="1" applyBorder="1"/>
    <xf numFmtId="0" fontId="19" fillId="0" borderId="0" xfId="10" applyFont="1" applyFill="1" applyBorder="1" applyAlignment="1"/>
    <xf numFmtId="0" fontId="7" fillId="0" borderId="0" xfId="10" applyFill="1" applyBorder="1" applyAlignment="1"/>
    <xf numFmtId="3" fontId="19" fillId="0" borderId="0" xfId="10" applyNumberFormat="1" applyFont="1" applyFill="1" applyBorder="1"/>
    <xf numFmtId="0" fontId="19" fillId="2" borderId="49" xfId="10" applyFont="1" applyFill="1" applyBorder="1"/>
    <xf numFmtId="49" fontId="19" fillId="2" borderId="50" xfId="10" applyNumberFormat="1" applyFont="1" applyFill="1" applyBorder="1"/>
    <xf numFmtId="49" fontId="19" fillId="2" borderId="51" xfId="10" applyNumberFormat="1" applyFont="1" applyFill="1" applyBorder="1"/>
    <xf numFmtId="3" fontId="19" fillId="2" borderId="51" xfId="10" applyNumberFormat="1" applyFont="1" applyFill="1" applyBorder="1" applyAlignment="1">
      <alignment horizontal="center"/>
    </xf>
    <xf numFmtId="167" fontId="41" fillId="0" borderId="52" xfId="10" applyNumberFormat="1" applyFont="1" applyBorder="1"/>
    <xf numFmtId="49" fontId="19" fillId="0" borderId="39" xfId="10" applyNumberFormat="1" applyFont="1" applyBorder="1"/>
    <xf numFmtId="49" fontId="19" fillId="0" borderId="53" xfId="10" applyNumberFormat="1" applyFont="1" applyBorder="1"/>
    <xf numFmtId="3" fontId="19" fillId="0" borderId="27" xfId="10" applyNumberFormat="1" applyFont="1" applyBorder="1"/>
    <xf numFmtId="167" fontId="41" fillId="3" borderId="33" xfId="10" applyNumberFormat="1" applyFont="1" applyFill="1" applyBorder="1"/>
    <xf numFmtId="49" fontId="19" fillId="3" borderId="37" xfId="10" applyNumberFormat="1" applyFont="1" applyFill="1" applyBorder="1"/>
    <xf numFmtId="49" fontId="19" fillId="3" borderId="47" xfId="10" applyNumberFormat="1" applyFont="1" applyFill="1" applyBorder="1"/>
    <xf numFmtId="0" fontId="19" fillId="3" borderId="9" xfId="10" applyFont="1" applyFill="1" applyBorder="1"/>
    <xf numFmtId="3" fontId="19" fillId="3" borderId="9" xfId="10" applyNumberFormat="1" applyFont="1" applyFill="1" applyBorder="1"/>
    <xf numFmtId="49" fontId="30" fillId="3" borderId="47" xfId="10" applyNumberFormat="1" applyFont="1" applyFill="1" applyBorder="1"/>
    <xf numFmtId="0" fontId="30" fillId="3" borderId="9" xfId="10" applyFont="1" applyFill="1" applyBorder="1"/>
    <xf numFmtId="3" fontId="30" fillId="3" borderId="9" xfId="10" applyNumberFormat="1" applyFont="1" applyFill="1" applyBorder="1"/>
    <xf numFmtId="3" fontId="45" fillId="3" borderId="20" xfId="10" applyNumberFormat="1" applyFont="1" applyFill="1" applyBorder="1"/>
    <xf numFmtId="3" fontId="19" fillId="2" borderId="37" xfId="10" applyNumberFormat="1" applyFont="1" applyFill="1" applyBorder="1" applyAlignment="1">
      <alignment horizontal="center"/>
    </xf>
    <xf numFmtId="168" fontId="30" fillId="0" borderId="9" xfId="10" applyNumberFormat="1" applyFont="1" applyBorder="1" applyAlignment="1">
      <alignment horizontal="center"/>
    </xf>
    <xf numFmtId="0" fontId="30" fillId="0" borderId="49" xfId="10" applyFont="1" applyBorder="1"/>
    <xf numFmtId="0" fontId="30" fillId="0" borderId="20" xfId="10" applyFont="1" applyBorder="1" applyAlignment="1">
      <alignment wrapText="1"/>
    </xf>
    <xf numFmtId="3" fontId="30" fillId="0" borderId="48" xfId="10" applyNumberFormat="1" applyFont="1" applyBorder="1"/>
    <xf numFmtId="49" fontId="7" fillId="0" borderId="0" xfId="10" applyNumberFormat="1" applyBorder="1"/>
    <xf numFmtId="3" fontId="30" fillId="0" borderId="9" xfId="10" applyNumberFormat="1" applyFont="1" applyBorder="1" applyAlignment="1">
      <alignment horizontal="center"/>
    </xf>
    <xf numFmtId="3" fontId="30" fillId="0" borderId="9" xfId="10" applyNumberFormat="1" applyFont="1" applyBorder="1" applyAlignment="1">
      <alignment horizontal="right"/>
    </xf>
    <xf numFmtId="3" fontId="30" fillId="0" borderId="48" xfId="10" applyNumberFormat="1" applyFont="1" applyBorder="1" applyAlignment="1">
      <alignment horizontal="center"/>
    </xf>
    <xf numFmtId="0" fontId="30" fillId="0" borderId="9" xfId="10" applyFont="1" applyBorder="1" applyAlignment="1">
      <alignment horizontal="left" wrapText="1"/>
    </xf>
    <xf numFmtId="1" fontId="7" fillId="0" borderId="0" xfId="10" applyNumberFormat="1"/>
    <xf numFmtId="0" fontId="54" fillId="0" borderId="0" xfId="10" applyFont="1"/>
    <xf numFmtId="0" fontId="54" fillId="0" borderId="0" xfId="10" applyFont="1" applyAlignment="1">
      <alignment horizontal="center"/>
    </xf>
    <xf numFmtId="3" fontId="54" fillId="0" borderId="0" xfId="10" applyNumberFormat="1" applyFont="1"/>
    <xf numFmtId="1" fontId="54" fillId="0" borderId="0" xfId="10" applyNumberFormat="1" applyFont="1"/>
    <xf numFmtId="3" fontId="39" fillId="2" borderId="9" xfId="10" applyNumberFormat="1" applyFont="1" applyFill="1" applyBorder="1"/>
    <xf numFmtId="168" fontId="7" fillId="0" borderId="0" xfId="10" applyNumberFormat="1"/>
    <xf numFmtId="0" fontId="51" fillId="3" borderId="33" xfId="10" applyFont="1" applyFill="1" applyBorder="1"/>
    <xf numFmtId="0" fontId="7" fillId="0" borderId="0" xfId="10" applyBorder="1"/>
    <xf numFmtId="0" fontId="40" fillId="5" borderId="33" xfId="10" applyFont="1" applyFill="1" applyBorder="1"/>
    <xf numFmtId="49" fontId="19" fillId="5" borderId="37" xfId="10" applyNumberFormat="1" applyFont="1" applyFill="1" applyBorder="1"/>
    <xf numFmtId="49" fontId="19" fillId="5" borderId="47" xfId="10" applyNumberFormat="1" applyFont="1" applyFill="1" applyBorder="1"/>
    <xf numFmtId="0" fontId="19" fillId="5" borderId="9" xfId="10" applyFont="1" applyFill="1" applyBorder="1"/>
    <xf numFmtId="3" fontId="19" fillId="5" borderId="47" xfId="10" applyNumberFormat="1" applyFont="1" applyFill="1" applyBorder="1"/>
    <xf numFmtId="165" fontId="10" fillId="0" borderId="0" xfId="0" applyNumberFormat="1" applyFont="1" applyFill="1" applyAlignment="1" applyProtection="1">
      <alignment horizontal="left" vertical="center" wrapText="1"/>
    </xf>
    <xf numFmtId="165" fontId="10" fillId="0" borderId="0" xfId="0" applyNumberFormat="1" applyFont="1" applyFill="1" applyAlignment="1" applyProtection="1">
      <alignment vertical="center" wrapText="1"/>
    </xf>
    <xf numFmtId="165" fontId="10" fillId="0" borderId="0" xfId="0" applyNumberFormat="1" applyFont="1" applyFill="1" applyAlignment="1" applyProtection="1">
      <alignment vertical="center" wrapText="1"/>
      <protection locked="0"/>
    </xf>
    <xf numFmtId="165" fontId="10" fillId="0" borderId="0" xfId="0" applyNumberFormat="1" applyFont="1" applyFill="1" applyAlignment="1">
      <alignment vertical="center" wrapText="1"/>
    </xf>
    <xf numFmtId="49" fontId="13" fillId="0" borderId="46" xfId="0" applyNumberFormat="1" applyFont="1" applyFill="1" applyBorder="1" applyAlignment="1" applyProtection="1">
      <alignment horizontal="right" vertical="center"/>
      <protection locked="0"/>
    </xf>
    <xf numFmtId="0" fontId="13" fillId="2" borderId="44" xfId="0" applyFont="1" applyFill="1" applyBorder="1" applyAlignment="1" applyProtection="1">
      <alignment horizontal="center" vertical="center" wrapText="1"/>
    </xf>
    <xf numFmtId="0" fontId="13" fillId="2" borderId="45" xfId="0" applyFont="1" applyFill="1" applyBorder="1" applyAlignment="1" applyProtection="1">
      <alignment horizontal="center" vertical="center" wrapText="1"/>
    </xf>
    <xf numFmtId="165" fontId="13" fillId="2" borderId="42" xfId="0" applyNumberFormat="1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Alignment="1">
      <alignment vertical="center" wrapText="1"/>
    </xf>
    <xf numFmtId="0" fontId="56" fillId="0" borderId="2" xfId="0" applyFont="1" applyFill="1" applyBorder="1" applyAlignment="1" applyProtection="1">
      <alignment horizontal="center" vertical="center" wrapText="1"/>
    </xf>
    <xf numFmtId="0" fontId="26" fillId="0" borderId="2" xfId="21" applyFont="1" applyFill="1" applyBorder="1" applyAlignment="1" applyProtection="1">
      <alignment horizontal="left" vertical="center" wrapText="1" indent="1"/>
    </xf>
    <xf numFmtId="3" fontId="11" fillId="0" borderId="7" xfId="0" applyNumberFormat="1" applyFont="1" applyFill="1" applyBorder="1" applyAlignment="1" applyProtection="1">
      <alignment vertical="center" wrapText="1"/>
      <protection locked="0"/>
    </xf>
    <xf numFmtId="49" fontId="26" fillId="0" borderId="2" xfId="21" applyNumberFormat="1" applyFont="1" applyFill="1" applyBorder="1" applyAlignment="1" applyProtection="1">
      <alignment horizontal="left" vertical="center" wrapText="1" indent="1"/>
    </xf>
    <xf numFmtId="3" fontId="12" fillId="0" borderId="46" xfId="0" applyNumberFormat="1" applyFont="1" applyFill="1" applyBorder="1" applyAlignment="1" applyProtection="1">
      <alignment vertical="center" wrapText="1"/>
    </xf>
    <xf numFmtId="0" fontId="57" fillId="2" borderId="41" xfId="0" applyFont="1" applyFill="1" applyBorder="1" applyAlignment="1" applyProtection="1">
      <alignment horizontal="center" wrapText="1"/>
    </xf>
    <xf numFmtId="0" fontId="39" fillId="2" borderId="2" xfId="10" applyFont="1" applyFill="1" applyBorder="1"/>
    <xf numFmtId="0" fontId="11" fillId="0" borderId="0" xfId="0" applyFont="1" applyFill="1" applyBorder="1" applyAlignment="1" applyProtection="1">
      <alignment horizontal="center" vertical="center" wrapText="1"/>
    </xf>
    <xf numFmtId="165" fontId="11" fillId="0" borderId="42" xfId="0" applyNumberFormat="1" applyFont="1" applyFill="1" applyBorder="1" applyAlignment="1" applyProtection="1">
      <alignment vertical="center" wrapText="1"/>
    </xf>
    <xf numFmtId="0" fontId="26" fillId="0" borderId="5" xfId="21" applyFont="1" applyFill="1" applyBorder="1" applyAlignment="1" applyProtection="1">
      <alignment horizontal="left" vertical="center" wrapText="1" indent="1"/>
    </xf>
    <xf numFmtId="0" fontId="30" fillId="0" borderId="15" xfId="10" applyFont="1" applyBorder="1"/>
    <xf numFmtId="165" fontId="13" fillId="2" borderId="7" xfId="0" applyNumberFormat="1" applyFont="1" applyFill="1" applyBorder="1" applyAlignment="1" applyProtection="1">
      <alignment vertical="center" wrapText="1"/>
    </xf>
    <xf numFmtId="4" fontId="12" fillId="0" borderId="7" xfId="0" applyNumberFormat="1" applyFont="1" applyFill="1" applyBorder="1" applyAlignment="1" applyProtection="1">
      <alignment vertical="center" wrapText="1"/>
      <protection locked="0"/>
    </xf>
    <xf numFmtId="165" fontId="37" fillId="0" borderId="0" xfId="0" applyNumberFormat="1" applyFont="1" applyFill="1" applyAlignment="1" applyProtection="1">
      <alignment vertical="center" wrapText="1"/>
      <protection locked="0"/>
    </xf>
    <xf numFmtId="49" fontId="13" fillId="0" borderId="13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3" fillId="2" borderId="38" xfId="0" applyFont="1" applyFill="1" applyBorder="1" applyAlignment="1" applyProtection="1">
      <alignment horizontal="center" vertical="center" wrapText="1"/>
    </xf>
    <xf numFmtId="0" fontId="13" fillId="2" borderId="39" xfId="0" applyFont="1" applyFill="1" applyBorder="1" applyAlignment="1" applyProtection="1">
      <alignment horizontal="center" vertical="center" wrapText="1"/>
    </xf>
    <xf numFmtId="165" fontId="13" fillId="2" borderId="40" xfId="0" applyNumberFormat="1" applyFont="1" applyFill="1" applyBorder="1" applyAlignment="1" applyProtection="1">
      <alignment horizontal="center" vertical="center" wrapText="1"/>
    </xf>
    <xf numFmtId="3" fontId="12" fillId="0" borderId="13" xfId="0" applyNumberFormat="1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 indent="1"/>
    </xf>
    <xf numFmtId="0" fontId="12" fillId="0" borderId="0" xfId="0" applyFont="1" applyFill="1" applyBorder="1" applyAlignment="1" applyProtection="1">
      <alignment horizontal="left" vertical="center" wrapText="1" indent="1"/>
    </xf>
    <xf numFmtId="3" fontId="12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7" xfId="0" applyNumberFormat="1" applyFont="1" applyFill="1" applyBorder="1" applyAlignment="1" applyProtection="1">
      <alignment vertical="center" wrapText="1"/>
    </xf>
    <xf numFmtId="3" fontId="10" fillId="0" borderId="13" xfId="0" applyNumberFormat="1" applyFont="1" applyFill="1" applyBorder="1" applyAlignment="1" applyProtection="1">
      <alignment vertical="center" wrapText="1"/>
      <protection locked="0"/>
    </xf>
    <xf numFmtId="3" fontId="10" fillId="0" borderId="10" xfId="0" applyNumberFormat="1" applyFont="1" applyFill="1" applyBorder="1" applyAlignment="1" applyProtection="1">
      <alignment vertical="center" wrapText="1"/>
      <protection locked="0"/>
    </xf>
    <xf numFmtId="3" fontId="10" fillId="0" borderId="25" xfId="0" applyNumberFormat="1" applyFont="1" applyFill="1" applyBorder="1" applyAlignment="1" applyProtection="1">
      <alignment vertical="center" wrapText="1"/>
      <protection locked="0"/>
    </xf>
    <xf numFmtId="3" fontId="10" fillId="0" borderId="26" xfId="0" applyNumberFormat="1" applyFont="1" applyFill="1" applyBorder="1" applyAlignment="1" applyProtection="1">
      <alignment vertical="center" wrapText="1"/>
      <protection locked="0"/>
    </xf>
    <xf numFmtId="3" fontId="13" fillId="0" borderId="7" xfId="0" applyNumberFormat="1" applyFont="1" applyFill="1" applyBorder="1" applyAlignment="1" applyProtection="1">
      <alignment vertical="center" wrapText="1"/>
      <protection locked="0"/>
    </xf>
    <xf numFmtId="3" fontId="13" fillId="0" borderId="42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center" wrapText="1" indent="1"/>
    </xf>
    <xf numFmtId="3" fontId="13" fillId="0" borderId="0" xfId="0" applyNumberFormat="1" applyFont="1" applyFill="1" applyBorder="1" applyAlignment="1" applyProtection="1">
      <alignment vertical="center" wrapText="1"/>
    </xf>
    <xf numFmtId="0" fontId="13" fillId="0" borderId="2" xfId="21" applyFont="1" applyFill="1" applyBorder="1" applyAlignment="1" applyProtection="1">
      <alignment horizontal="left" vertical="center" wrapText="1" indent="1"/>
    </xf>
    <xf numFmtId="0" fontId="13" fillId="0" borderId="2" xfId="21" applyFont="1" applyFill="1" applyBorder="1" applyAlignment="1" applyProtection="1">
      <alignment vertical="center" wrapText="1"/>
    </xf>
    <xf numFmtId="0" fontId="13" fillId="0" borderId="19" xfId="0" applyFont="1" applyFill="1" applyBorder="1" applyAlignment="1" applyProtection="1">
      <alignment horizontal="center" vertical="center" wrapText="1"/>
    </xf>
    <xf numFmtId="49" fontId="10" fillId="0" borderId="20" xfId="21" applyNumberFormat="1" applyFont="1" applyFill="1" applyBorder="1" applyAlignment="1" applyProtection="1">
      <alignment horizontal="left" vertical="center" wrapText="1" indent="1"/>
    </xf>
    <xf numFmtId="0" fontId="10" fillId="0" borderId="20" xfId="21" applyFont="1" applyFill="1" applyBorder="1" applyAlignment="1" applyProtection="1">
      <alignment horizontal="left" vertical="center" wrapText="1" indent="1"/>
    </xf>
    <xf numFmtId="3" fontId="10" fillId="0" borderId="21" xfId="0" applyNumberFormat="1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</xf>
    <xf numFmtId="49" fontId="10" fillId="0" borderId="9" xfId="21" applyNumberFormat="1" applyFont="1" applyFill="1" applyBorder="1" applyAlignment="1" applyProtection="1">
      <alignment horizontal="left" vertical="center" wrapText="1" indent="1"/>
    </xf>
    <xf numFmtId="0" fontId="10" fillId="0" borderId="9" xfId="21" applyFont="1" applyFill="1" applyBorder="1" applyAlignment="1" applyProtection="1">
      <alignment horizontal="left" vertical="center" wrapText="1" indent="1"/>
    </xf>
    <xf numFmtId="0" fontId="10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left" vertical="center"/>
    </xf>
    <xf numFmtId="0" fontId="10" fillId="0" borderId="45" xfId="0" applyFont="1" applyFill="1" applyBorder="1" applyAlignment="1" applyProtection="1">
      <alignment vertical="center" wrapText="1"/>
    </xf>
    <xf numFmtId="0" fontId="13" fillId="0" borderId="41" xfId="0" applyFont="1" applyFill="1" applyBorder="1" applyAlignment="1" applyProtection="1">
      <alignment vertical="center" wrapText="1"/>
    </xf>
    <xf numFmtId="3" fontId="13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0" xfId="0" applyNumberFormat="1" applyFont="1" applyFill="1" applyAlignment="1" applyProtection="1">
      <alignment horizontal="left" vertical="center" wrapText="1"/>
    </xf>
    <xf numFmtId="165" fontId="11" fillId="0" borderId="0" xfId="0" applyNumberFormat="1" applyFont="1" applyFill="1" applyAlignment="1" applyProtection="1">
      <alignment vertical="center" wrapText="1"/>
    </xf>
    <xf numFmtId="165" fontId="11" fillId="0" borderId="0" xfId="0" applyNumberFormat="1" applyFont="1" applyFill="1" applyAlignment="1" applyProtection="1">
      <alignment vertical="center" wrapText="1"/>
      <protection locked="0"/>
    </xf>
    <xf numFmtId="49" fontId="12" fillId="0" borderId="13" xfId="0" applyNumberFormat="1" applyFont="1" applyFill="1" applyBorder="1" applyAlignment="1" applyProtection="1">
      <alignment horizontal="right" vertical="center"/>
      <protection locked="0"/>
    </xf>
    <xf numFmtId="49" fontId="12" fillId="0" borderId="46" xfId="0" applyNumberFormat="1" applyFont="1" applyFill="1" applyBorder="1" applyAlignment="1" applyProtection="1">
      <alignment horizontal="right" vertical="center"/>
      <protection locked="0"/>
    </xf>
    <xf numFmtId="0" fontId="13" fillId="2" borderId="2" xfId="0" applyFont="1" applyFill="1" applyBorder="1" applyAlignment="1" applyProtection="1">
      <alignment horizontal="center" vertical="center" wrapText="1"/>
    </xf>
    <xf numFmtId="3" fontId="12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Alignment="1">
      <alignment vertical="center" wrapText="1"/>
    </xf>
    <xf numFmtId="3" fontId="11" fillId="0" borderId="0" xfId="0" applyNumberFormat="1" applyFont="1" applyFill="1" applyAlignment="1" applyProtection="1">
      <alignment vertical="center" wrapText="1"/>
    </xf>
    <xf numFmtId="0" fontId="11" fillId="0" borderId="0" xfId="0" applyFont="1" applyFill="1" applyAlignment="1">
      <alignment horizontal="left" vertical="center" wrapText="1"/>
    </xf>
    <xf numFmtId="3" fontId="26" fillId="0" borderId="0" xfId="0" applyNumberFormat="1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vertical="center" wrapText="1"/>
    </xf>
    <xf numFmtId="0" fontId="0" fillId="0" borderId="45" xfId="0" applyFont="1" applyFill="1" applyBorder="1" applyAlignment="1" applyProtection="1">
      <alignment vertical="center" wrapText="1"/>
    </xf>
    <xf numFmtId="0" fontId="25" fillId="0" borderId="41" xfId="0" applyFont="1" applyFill="1" applyBorder="1" applyAlignment="1" applyProtection="1">
      <alignment vertical="center" wrapText="1"/>
    </xf>
    <xf numFmtId="4" fontId="25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3" fontId="25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21" applyFont="1" applyFill="1" applyBorder="1" applyAlignment="1" applyProtection="1">
      <alignment horizontal="left" vertical="center" wrapText="1" indent="3"/>
    </xf>
    <xf numFmtId="3" fontId="12" fillId="0" borderId="43" xfId="0" applyNumberFormat="1" applyFont="1" applyFill="1" applyBorder="1" applyAlignment="1" applyProtection="1">
      <alignment vertical="center" wrapText="1"/>
      <protection locked="0"/>
    </xf>
    <xf numFmtId="3" fontId="12" fillId="0" borderId="18" xfId="0" applyNumberFormat="1" applyFont="1" applyFill="1" applyBorder="1" applyAlignment="1" applyProtection="1">
      <alignment vertical="center" wrapText="1"/>
      <protection locked="0"/>
    </xf>
    <xf numFmtId="165" fontId="16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</xf>
    <xf numFmtId="3" fontId="16" fillId="0" borderId="0" xfId="0" applyNumberFormat="1" applyFont="1" applyFill="1" applyAlignment="1">
      <alignment vertical="center" wrapText="1"/>
    </xf>
    <xf numFmtId="3" fontId="16" fillId="0" borderId="21" xfId="0" applyNumberFormat="1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165" fontId="11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58" fillId="0" borderId="24" xfId="0" applyFont="1" applyFill="1" applyBorder="1" applyAlignment="1" applyProtection="1">
      <alignment horizontal="center" vertical="center"/>
      <protection locked="0"/>
    </xf>
    <xf numFmtId="49" fontId="46" fillId="0" borderId="0" xfId="10" applyNumberFormat="1" applyFont="1"/>
    <xf numFmtId="3" fontId="30" fillId="0" borderId="9" xfId="10" applyNumberFormat="1" applyFont="1" applyBorder="1" applyAlignment="1">
      <alignment horizontal="center" vertical="center" wrapText="1"/>
    </xf>
    <xf numFmtId="0" fontId="19" fillId="0" borderId="54" xfId="10" applyFont="1" applyBorder="1"/>
    <xf numFmtId="0" fontId="19" fillId="0" borderId="55" xfId="10" applyFont="1" applyBorder="1"/>
    <xf numFmtId="49" fontId="30" fillId="0" borderId="55" xfId="10" applyNumberFormat="1" applyFont="1" applyBorder="1"/>
    <xf numFmtId="0" fontId="19" fillId="0" borderId="56" xfId="10" applyFont="1" applyBorder="1" applyAlignment="1">
      <alignment horizontal="center"/>
    </xf>
    <xf numFmtId="0" fontId="19" fillId="0" borderId="0" xfId="10" applyFont="1" applyBorder="1" applyAlignment="1">
      <alignment horizontal="center"/>
    </xf>
    <xf numFmtId="0" fontId="19" fillId="0" borderId="33" xfId="10" applyFont="1" applyBorder="1"/>
    <xf numFmtId="0" fontId="19" fillId="0" borderId="37" xfId="10" applyFont="1" applyBorder="1"/>
    <xf numFmtId="0" fontId="30" fillId="0" borderId="57" xfId="10" applyFont="1" applyBorder="1" applyAlignment="1">
      <alignment horizontal="left"/>
    </xf>
    <xf numFmtId="0" fontId="30" fillId="0" borderId="58" xfId="10" applyFont="1" applyBorder="1" applyAlignment="1">
      <alignment horizontal="left"/>
    </xf>
    <xf numFmtId="0" fontId="30" fillId="0" borderId="33" xfId="10" applyFont="1" applyBorder="1" applyAlignment="1">
      <alignment horizontal="center"/>
    </xf>
    <xf numFmtId="0" fontId="30" fillId="0" borderId="47" xfId="10" applyFont="1" applyBorder="1" applyAlignment="1">
      <alignment horizontal="center"/>
    </xf>
    <xf numFmtId="0" fontId="41" fillId="0" borderId="37" xfId="10" applyFont="1" applyBorder="1"/>
    <xf numFmtId="0" fontId="59" fillId="0" borderId="33" xfId="10" applyFont="1" applyBorder="1"/>
    <xf numFmtId="0" fontId="59" fillId="0" borderId="37" xfId="10" applyFont="1" applyBorder="1"/>
    <xf numFmtId="0" fontId="45" fillId="0" borderId="9" xfId="10" applyFont="1" applyBorder="1" applyAlignment="1">
      <alignment horizontal="left" indent="4"/>
    </xf>
    <xf numFmtId="0" fontId="45" fillId="0" borderId="9" xfId="10" applyFont="1" applyBorder="1" applyAlignment="1">
      <alignment horizontal="left" indent="6"/>
    </xf>
    <xf numFmtId="0" fontId="30" fillId="2" borderId="9" xfId="10" applyFont="1" applyFill="1" applyBorder="1" applyAlignment="1">
      <alignment horizontal="left"/>
    </xf>
    <xf numFmtId="3" fontId="30" fillId="2" borderId="9" xfId="10" applyNumberFormat="1" applyFont="1" applyFill="1" applyBorder="1"/>
    <xf numFmtId="0" fontId="30" fillId="2" borderId="9" xfId="10" applyFont="1" applyFill="1" applyBorder="1"/>
    <xf numFmtId="0" fontId="30" fillId="0" borderId="9" xfId="10" applyFont="1" applyBorder="1" applyAlignment="1">
      <alignment horizontal="center"/>
    </xf>
    <xf numFmtId="49" fontId="30" fillId="0" borderId="0" xfId="10" applyNumberFormat="1" applyFont="1" applyBorder="1" applyAlignment="1">
      <alignment horizontal="left"/>
    </xf>
    <xf numFmtId="0" fontId="30" fillId="0" borderId="57" xfId="10" applyFont="1" applyBorder="1" applyAlignment="1">
      <alignment horizontal="center"/>
    </xf>
    <xf numFmtId="0" fontId="7" fillId="0" borderId="58" xfId="10" applyBorder="1"/>
    <xf numFmtId="3" fontId="43" fillId="0" borderId="15" xfId="10" applyNumberFormat="1" applyFont="1" applyFill="1" applyBorder="1"/>
    <xf numFmtId="2" fontId="44" fillId="0" borderId="0" xfId="10" applyNumberFormat="1" applyFont="1"/>
    <xf numFmtId="0" fontId="7" fillId="0" borderId="47" xfId="10" applyBorder="1"/>
    <xf numFmtId="166" fontId="13" fillId="0" borderId="0" xfId="0" applyNumberFormat="1" applyFont="1" applyFill="1" applyAlignment="1" applyProtection="1">
      <alignment vertical="center"/>
    </xf>
    <xf numFmtId="0" fontId="13" fillId="0" borderId="45" xfId="0" applyFont="1" applyFill="1" applyBorder="1" applyAlignment="1" applyProtection="1"/>
    <xf numFmtId="3" fontId="30" fillId="0" borderId="27" xfId="10" applyNumberFormat="1" applyFont="1" applyBorder="1" applyAlignment="1">
      <alignment horizontal="center" vertical="center" wrapText="1"/>
    </xf>
    <xf numFmtId="49" fontId="30" fillId="0" borderId="54" xfId="10" applyNumberFormat="1" applyFont="1" applyBorder="1"/>
    <xf numFmtId="0" fontId="19" fillId="0" borderId="57" xfId="10" applyFont="1" applyBorder="1"/>
    <xf numFmtId="0" fontId="19" fillId="0" borderId="0" xfId="10" applyFont="1" applyBorder="1"/>
    <xf numFmtId="49" fontId="30" fillId="0" borderId="0" xfId="10" applyNumberFormat="1" applyFont="1" applyBorder="1"/>
    <xf numFmtId="0" fontId="30" fillId="0" borderId="0" xfId="10" applyFont="1" applyBorder="1" applyAlignment="1">
      <alignment horizontal="left"/>
    </xf>
    <xf numFmtId="0" fontId="30" fillId="0" borderId="33" xfId="10" applyFont="1" applyBorder="1" applyAlignment="1">
      <alignment horizontal="left"/>
    </xf>
    <xf numFmtId="0" fontId="30" fillId="0" borderId="37" xfId="10" applyFont="1" applyBorder="1" applyAlignment="1">
      <alignment horizontal="left"/>
    </xf>
    <xf numFmtId="0" fontId="30" fillId="0" borderId="37" xfId="10" applyFont="1" applyBorder="1" applyAlignment="1">
      <alignment horizontal="center"/>
    </xf>
    <xf numFmtId="0" fontId="30" fillId="0" borderId="9" xfId="10" applyFont="1" applyBorder="1" applyAlignment="1">
      <alignment horizontal="left"/>
    </xf>
    <xf numFmtId="0" fontId="7" fillId="0" borderId="9" xfId="10" applyBorder="1"/>
    <xf numFmtId="0" fontId="30" fillId="0" borderId="49" xfId="10" applyFont="1" applyBorder="1" applyAlignment="1">
      <alignment horizontal="left"/>
    </xf>
    <xf numFmtId="0" fontId="41" fillId="0" borderId="52" xfId="10" applyFont="1" applyBorder="1"/>
    <xf numFmtId="3" fontId="30" fillId="0" borderId="47" xfId="10" applyNumberFormat="1" applyFont="1" applyBorder="1" applyAlignment="1">
      <alignment horizontal="center"/>
    </xf>
    <xf numFmtId="2" fontId="7" fillId="0" borderId="0" xfId="10" applyNumberFormat="1"/>
    <xf numFmtId="0" fontId="60" fillId="0" borderId="57" xfId="10" applyFont="1" applyBorder="1"/>
    <xf numFmtId="0" fontId="60" fillId="0" borderId="59" xfId="10" applyFont="1" applyBorder="1"/>
    <xf numFmtId="4" fontId="30" fillId="0" borderId="9" xfId="10" applyNumberFormat="1" applyFont="1" applyBorder="1" applyAlignment="1">
      <alignment horizontal="center"/>
    </xf>
    <xf numFmtId="0" fontId="60" fillId="0" borderId="33" xfId="10" applyFont="1" applyBorder="1"/>
    <xf numFmtId="3" fontId="45" fillId="0" borderId="37" xfId="10" applyNumberFormat="1" applyFont="1" applyBorder="1"/>
    <xf numFmtId="3" fontId="45" fillId="0" borderId="47" xfId="10" applyNumberFormat="1" applyFont="1" applyBorder="1"/>
    <xf numFmtId="3" fontId="43" fillId="0" borderId="48" xfId="10" applyNumberFormat="1" applyFont="1" applyBorder="1"/>
    <xf numFmtId="3" fontId="30" fillId="2" borderId="48" xfId="10" applyNumberFormat="1" applyFont="1" applyFill="1" applyBorder="1"/>
    <xf numFmtId="3" fontId="47" fillId="0" borderId="0" xfId="10" applyNumberFormat="1" applyFont="1"/>
    <xf numFmtId="3" fontId="47" fillId="0" borderId="0" xfId="10" applyNumberFormat="1" applyFont="1" applyAlignment="1">
      <alignment horizontal="center"/>
    </xf>
    <xf numFmtId="3" fontId="47" fillId="0" borderId="0" xfId="10" applyNumberFormat="1" applyFont="1" applyFill="1" applyBorder="1" applyAlignment="1">
      <alignment horizontal="center"/>
    </xf>
    <xf numFmtId="3" fontId="47" fillId="0" borderId="0" xfId="10" applyNumberFormat="1" applyFont="1" applyFill="1" applyBorder="1"/>
    <xf numFmtId="3" fontId="47" fillId="0" borderId="9" xfId="10" applyNumberFormat="1" applyFont="1" applyBorder="1"/>
    <xf numFmtId="0" fontId="7" fillId="0" borderId="0" xfId="10" applyFont="1" applyFill="1" applyBorder="1"/>
    <xf numFmtId="3" fontId="47" fillId="6" borderId="9" xfId="10" applyNumberFormat="1" applyFont="1" applyFill="1" applyBorder="1"/>
    <xf numFmtId="3" fontId="30" fillId="2" borderId="9" xfId="10" applyNumberFormat="1" applyFont="1" applyFill="1" applyBorder="1" applyAlignment="1">
      <alignment horizontal="right"/>
    </xf>
    <xf numFmtId="3" fontId="61" fillId="0" borderId="9" xfId="10" applyNumberFormat="1" applyFont="1" applyBorder="1"/>
    <xf numFmtId="0" fontId="30" fillId="0" borderId="20" xfId="10" applyFont="1" applyFill="1" applyBorder="1"/>
    <xf numFmtId="0" fontId="41" fillId="2" borderId="33" xfId="10" applyFont="1" applyFill="1" applyBorder="1"/>
    <xf numFmtId="0" fontId="19" fillId="2" borderId="37" xfId="10" applyFont="1" applyFill="1" applyBorder="1"/>
    <xf numFmtId="49" fontId="30" fillId="2" borderId="37" xfId="10" applyNumberFormat="1" applyFont="1" applyFill="1" applyBorder="1"/>
    <xf numFmtId="0" fontId="30" fillId="2" borderId="9" xfId="10" applyFont="1" applyFill="1" applyBorder="1" applyAlignment="1">
      <alignment horizontal="center" wrapText="1"/>
    </xf>
    <xf numFmtId="3" fontId="30" fillId="2" borderId="9" xfId="10" applyNumberFormat="1" applyFont="1" applyFill="1" applyBorder="1" applyAlignment="1">
      <alignment horizontal="center"/>
    </xf>
    <xf numFmtId="0" fontId="30" fillId="2" borderId="37" xfId="10" applyFont="1" applyFill="1" applyBorder="1" applyAlignment="1">
      <alignment horizontal="center" wrapText="1"/>
    </xf>
    <xf numFmtId="3" fontId="30" fillId="2" borderId="37" xfId="10" applyNumberFormat="1" applyFont="1" applyFill="1" applyBorder="1" applyAlignment="1">
      <alignment horizontal="center"/>
    </xf>
    <xf numFmtId="0" fontId="41" fillId="0" borderId="0" xfId="10" applyFont="1" applyBorder="1"/>
    <xf numFmtId="0" fontId="30" fillId="0" borderId="0" xfId="10" applyFont="1" applyBorder="1" applyAlignment="1">
      <alignment horizontal="center"/>
    </xf>
    <xf numFmtId="3" fontId="30" fillId="0" borderId="0" xfId="10" applyNumberFormat="1" applyFont="1" applyBorder="1" applyAlignment="1">
      <alignment horizontal="center"/>
    </xf>
    <xf numFmtId="0" fontId="60" fillId="0" borderId="0" xfId="10" applyFont="1" applyBorder="1"/>
    <xf numFmtId="165" fontId="0" fillId="0" borderId="0" xfId="0" applyNumberFormat="1" applyFill="1" applyAlignment="1" applyProtection="1">
      <alignment vertical="center" wrapText="1"/>
    </xf>
    <xf numFmtId="165" fontId="0" fillId="0" borderId="0" xfId="0" applyNumberFormat="1" applyFill="1" applyAlignment="1" applyProtection="1">
      <alignment horizontal="center" vertical="center" wrapText="1"/>
    </xf>
    <xf numFmtId="165" fontId="62" fillId="0" borderId="0" xfId="0" applyNumberFormat="1" applyFont="1" applyFill="1" applyAlignment="1" applyProtection="1">
      <alignment horizontal="right" wrapText="1"/>
    </xf>
    <xf numFmtId="165" fontId="13" fillId="0" borderId="12" xfId="0" applyNumberFormat="1" applyFont="1" applyFill="1" applyBorder="1" applyAlignment="1" applyProtection="1">
      <alignment horizontal="center" vertical="center" wrapText="1"/>
    </xf>
    <xf numFmtId="165" fontId="0" fillId="0" borderId="8" xfId="0" applyNumberFormat="1" applyFill="1" applyBorder="1" applyAlignment="1" applyProtection="1">
      <alignment vertical="center" wrapText="1"/>
    </xf>
    <xf numFmtId="165" fontId="0" fillId="0" borderId="9" xfId="0" applyNumberFormat="1" applyFill="1" applyBorder="1" applyAlignment="1" applyProtection="1">
      <alignment vertical="center" wrapText="1"/>
    </xf>
    <xf numFmtId="165" fontId="26" fillId="0" borderId="9" xfId="0" applyNumberFormat="1" applyFont="1" applyFill="1" applyBorder="1" applyAlignment="1" applyProtection="1">
      <alignment horizontal="center" vertical="center" wrapText="1"/>
    </xf>
    <xf numFmtId="165" fontId="26" fillId="0" borderId="10" xfId="0" applyNumberFormat="1" applyFont="1" applyFill="1" applyBorder="1" applyAlignment="1" applyProtection="1">
      <alignment horizontal="center" vertical="center" wrapText="1"/>
    </xf>
    <xf numFmtId="0" fontId="30" fillId="2" borderId="8" xfId="13" applyFont="1" applyFill="1" applyBorder="1" applyAlignment="1">
      <alignment horizontal="center" vertical="center"/>
    </xf>
    <xf numFmtId="165" fontId="0" fillId="2" borderId="9" xfId="0" applyNumberFormat="1" applyFill="1" applyBorder="1" applyAlignment="1" applyProtection="1">
      <alignment vertical="center" wrapText="1"/>
    </xf>
    <xf numFmtId="49" fontId="19" fillId="2" borderId="9" xfId="13" applyNumberFormat="1" applyFont="1" applyFill="1" applyBorder="1" applyAlignment="1">
      <alignment horizontal="left" vertical="center"/>
    </xf>
    <xf numFmtId="165" fontId="26" fillId="2" borderId="10" xfId="0" applyNumberFormat="1" applyFont="1" applyFill="1" applyBorder="1" applyAlignment="1" applyProtection="1">
      <alignment horizontal="center" vertical="center" wrapText="1"/>
    </xf>
    <xf numFmtId="3" fontId="19" fillId="2" borderId="9" xfId="13" applyNumberFormat="1" applyFont="1" applyFill="1" applyBorder="1" applyAlignment="1">
      <alignment horizontal="right" vertical="center"/>
    </xf>
    <xf numFmtId="0" fontId="55" fillId="0" borderId="9" xfId="11" applyFont="1" applyBorder="1" applyAlignment="1">
      <alignment horizontal="left" wrapText="1"/>
    </xf>
    <xf numFmtId="165" fontId="0" fillId="0" borderId="8" xfId="0" applyNumberFormat="1" applyFill="1" applyBorder="1" applyAlignment="1">
      <alignment vertical="center" wrapText="1"/>
    </xf>
    <xf numFmtId="49" fontId="45" fillId="0" borderId="9" xfId="10" applyNumberFormat="1" applyFont="1" applyBorder="1" applyAlignment="1">
      <alignment horizontal="left" vertical="center"/>
    </xf>
    <xf numFmtId="165" fontId="0" fillId="0" borderId="9" xfId="0" applyNumberFormat="1" applyFill="1" applyBorder="1" applyAlignment="1">
      <alignment vertical="center" wrapText="1"/>
    </xf>
    <xf numFmtId="3" fontId="55" fillId="0" borderId="9" xfId="11" applyNumberFormat="1" applyFont="1" applyBorder="1" applyAlignment="1">
      <alignment horizontal="right" wrapText="1"/>
    </xf>
    <xf numFmtId="165" fontId="62" fillId="0" borderId="8" xfId="0" applyNumberFormat="1" applyFont="1" applyFill="1" applyBorder="1" applyAlignment="1">
      <alignment vertical="center" wrapText="1"/>
    </xf>
    <xf numFmtId="165" fontId="62" fillId="0" borderId="9" xfId="0" applyNumberFormat="1" applyFont="1" applyFill="1" applyBorder="1" applyAlignment="1">
      <alignment vertical="center" wrapText="1"/>
    </xf>
    <xf numFmtId="165" fontId="62" fillId="0" borderId="0" xfId="0" applyNumberFormat="1" applyFont="1" applyFill="1" applyAlignment="1">
      <alignment vertical="center" wrapText="1"/>
    </xf>
    <xf numFmtId="165" fontId="25" fillId="0" borderId="0" xfId="0" applyNumberFormat="1" applyFont="1" applyFill="1" applyAlignment="1">
      <alignment vertical="center" wrapText="1"/>
    </xf>
    <xf numFmtId="165" fontId="0" fillId="0" borderId="60" xfId="0" applyNumberFormat="1" applyFill="1" applyBorder="1" applyAlignment="1" applyProtection="1">
      <alignment vertical="center" wrapText="1"/>
    </xf>
    <xf numFmtId="165" fontId="0" fillId="0" borderId="37" xfId="0" applyNumberFormat="1" applyFill="1" applyBorder="1" applyAlignment="1" applyProtection="1">
      <alignment vertical="center" wrapText="1"/>
    </xf>
    <xf numFmtId="165" fontId="25" fillId="0" borderId="9" xfId="0" applyNumberFormat="1" applyFont="1" applyFill="1" applyBorder="1" applyAlignment="1" applyProtection="1">
      <alignment horizontal="center" vertical="center" wrapText="1"/>
    </xf>
    <xf numFmtId="165" fontId="10" fillId="0" borderId="9" xfId="0" applyNumberFormat="1" applyFont="1" applyFill="1" applyBorder="1" applyAlignment="1" applyProtection="1">
      <alignment vertical="center" wrapText="1"/>
      <protection locked="0"/>
    </xf>
    <xf numFmtId="165" fontId="12" fillId="0" borderId="6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37" xfId="0" applyNumberFormat="1" applyFill="1" applyBorder="1" applyAlignment="1" applyProtection="1">
      <alignment vertical="center" wrapText="1"/>
      <protection locked="0"/>
    </xf>
    <xf numFmtId="165" fontId="0" fillId="0" borderId="0" xfId="0" applyNumberFormat="1" applyFill="1" applyAlignment="1" applyProtection="1">
      <alignment vertical="center" wrapText="1"/>
      <protection locked="0"/>
    </xf>
    <xf numFmtId="165" fontId="0" fillId="0" borderId="60" xfId="0" applyNumberFormat="1" applyFill="1" applyBorder="1" applyAlignment="1">
      <alignment vertical="center" wrapText="1"/>
    </xf>
    <xf numFmtId="49" fontId="45" fillId="0" borderId="37" xfId="10" applyNumberFormat="1" applyFont="1" applyBorder="1" applyAlignment="1">
      <alignment horizontal="left" vertical="center"/>
    </xf>
    <xf numFmtId="165" fontId="0" fillId="0" borderId="37" xfId="0" applyNumberFormat="1" applyFill="1" applyBorder="1" applyAlignment="1">
      <alignment vertical="center" wrapText="1"/>
    </xf>
    <xf numFmtId="1" fontId="10" fillId="0" borderId="9" xfId="0" applyNumberFormat="1" applyFont="1" applyFill="1" applyBorder="1" applyAlignment="1" applyProtection="1">
      <alignment vertical="center" wrapText="1"/>
      <protection locked="0"/>
    </xf>
    <xf numFmtId="0" fontId="55" fillId="0" borderId="9" xfId="11" applyFont="1" applyBorder="1" applyAlignment="1">
      <alignment wrapText="1"/>
    </xf>
    <xf numFmtId="0" fontId="55" fillId="0" borderId="9" xfId="11" applyFont="1" applyFill="1" applyBorder="1" applyAlignment="1">
      <alignment wrapText="1"/>
    </xf>
    <xf numFmtId="165" fontId="12" fillId="0" borderId="60" xfId="0" applyNumberFormat="1" applyFont="1" applyFill="1" applyBorder="1" applyAlignment="1">
      <alignment horizontal="right" vertical="center" wrapText="1"/>
    </xf>
    <xf numFmtId="165" fontId="13" fillId="2" borderId="9" xfId="0" applyNumberFormat="1" applyFont="1" applyFill="1" applyBorder="1" applyAlignment="1" applyProtection="1">
      <alignment vertical="center" wrapText="1"/>
      <protection locked="0"/>
    </xf>
    <xf numFmtId="49" fontId="19" fillId="2" borderId="9" xfId="13" applyNumberFormat="1" applyFont="1" applyFill="1" applyBorder="1" applyAlignment="1">
      <alignment horizontal="right" vertical="center"/>
    </xf>
    <xf numFmtId="49" fontId="19" fillId="2" borderId="33" xfId="13" applyNumberFormat="1" applyFont="1" applyFill="1" applyBorder="1" applyAlignment="1">
      <alignment horizontal="left" vertical="center"/>
    </xf>
    <xf numFmtId="49" fontId="19" fillId="2" borderId="37" xfId="13" applyNumberFormat="1" applyFont="1" applyFill="1" applyBorder="1" applyAlignment="1">
      <alignment horizontal="left" vertical="center"/>
    </xf>
    <xf numFmtId="49" fontId="19" fillId="2" borderId="47" xfId="13" applyNumberFormat="1" applyFont="1" applyFill="1" applyBorder="1" applyAlignment="1">
      <alignment horizontal="left" vertical="center"/>
    </xf>
    <xf numFmtId="49" fontId="19" fillId="2" borderId="9" xfId="13" applyNumberFormat="1" applyFont="1" applyFill="1" applyBorder="1" applyAlignment="1">
      <alignment horizontal="left" vertical="center" wrapText="1"/>
    </xf>
    <xf numFmtId="165" fontId="28" fillId="2" borderId="24" xfId="0" applyNumberFormat="1" applyFont="1" applyFill="1" applyBorder="1" applyAlignment="1" applyProtection="1">
      <alignment vertical="center" wrapText="1"/>
    </xf>
    <xf numFmtId="165" fontId="25" fillId="0" borderId="61" xfId="0" applyNumberFormat="1" applyFont="1" applyFill="1" applyBorder="1" applyAlignment="1">
      <alignment vertical="center" wrapText="1"/>
    </xf>
    <xf numFmtId="165" fontId="25" fillId="0" borderId="62" xfId="0" applyNumberFormat="1" applyFont="1" applyFill="1" applyBorder="1" applyAlignment="1">
      <alignment vertical="center" wrapText="1"/>
    </xf>
    <xf numFmtId="165" fontId="28" fillId="2" borderId="24" xfId="0" applyNumberFormat="1" applyFont="1" applyFill="1" applyBorder="1" applyAlignment="1" applyProtection="1">
      <alignment horizontal="left" vertical="center" wrapText="1"/>
    </xf>
    <xf numFmtId="0" fontId="30" fillId="0" borderId="60" xfId="10" applyFont="1" applyBorder="1" applyAlignment="1">
      <alignment horizontal="center" vertical="center"/>
    </xf>
    <xf numFmtId="0" fontId="30" fillId="0" borderId="37" xfId="10" applyFont="1" applyBorder="1" applyAlignment="1">
      <alignment horizontal="center" vertical="center"/>
    </xf>
    <xf numFmtId="0" fontId="30" fillId="0" borderId="47" xfId="10" applyFont="1" applyBorder="1" applyAlignment="1">
      <alignment horizontal="center" vertical="center"/>
    </xf>
    <xf numFmtId="0" fontId="30" fillId="0" borderId="9" xfId="10" applyFont="1" applyBorder="1" applyAlignment="1">
      <alignment horizontal="left" vertical="center" wrapText="1"/>
    </xf>
    <xf numFmtId="3" fontId="30" fillId="0" borderId="9" xfId="10" applyNumberFormat="1" applyFont="1" applyBorder="1" applyAlignment="1">
      <alignment horizontal="right" vertical="center" wrapText="1"/>
    </xf>
    <xf numFmtId="49" fontId="45" fillId="0" borderId="37" xfId="10" applyNumberFormat="1" applyFont="1" applyBorder="1" applyAlignment="1">
      <alignment horizontal="center" vertical="center"/>
    </xf>
    <xf numFmtId="49" fontId="30" fillId="0" borderId="47" xfId="10" applyNumberFormat="1" applyFont="1" applyBorder="1" applyAlignment="1">
      <alignment horizontal="center" vertical="center"/>
    </xf>
    <xf numFmtId="0" fontId="45" fillId="0" borderId="9" xfId="10" applyFont="1" applyBorder="1" applyAlignment="1">
      <alignment horizontal="left" vertical="center" wrapText="1"/>
    </xf>
    <xf numFmtId="3" fontId="45" fillId="0" borderId="9" xfId="10" applyNumberFormat="1" applyFont="1" applyBorder="1" applyAlignment="1">
      <alignment horizontal="right" vertical="center" wrapText="1"/>
    </xf>
    <xf numFmtId="0" fontId="31" fillId="0" borderId="60" xfId="10" applyFont="1" applyBorder="1" applyAlignment="1">
      <alignment horizontal="center" vertical="center"/>
    </xf>
    <xf numFmtId="49" fontId="43" fillId="0" borderId="37" xfId="10" applyNumberFormat="1" applyFont="1" applyBorder="1" applyAlignment="1">
      <alignment horizontal="center" vertical="center"/>
    </xf>
    <xf numFmtId="49" fontId="43" fillId="0" borderId="47" xfId="10" applyNumberFormat="1" applyFont="1" applyBorder="1" applyAlignment="1">
      <alignment horizontal="center" vertical="center"/>
    </xf>
    <xf numFmtId="0" fontId="43" fillId="0" borderId="9" xfId="10" applyFont="1" applyBorder="1" applyAlignment="1">
      <alignment horizontal="left" vertical="center" wrapText="1"/>
    </xf>
    <xf numFmtId="3" fontId="48" fillId="0" borderId="9" xfId="10" applyNumberFormat="1" applyFont="1" applyBorder="1" applyAlignment="1">
      <alignment horizontal="right" vertical="center" wrapText="1"/>
    </xf>
    <xf numFmtId="3" fontId="48" fillId="0" borderId="47" xfId="10" applyNumberFormat="1" applyFont="1" applyBorder="1" applyAlignment="1">
      <alignment horizontal="right" vertical="center" wrapText="1"/>
    </xf>
    <xf numFmtId="0" fontId="61" fillId="0" borderId="60" xfId="10" applyFont="1" applyBorder="1" applyAlignment="1">
      <alignment horizontal="center" vertical="center"/>
    </xf>
    <xf numFmtId="49" fontId="47" fillId="0" borderId="37" xfId="10" applyNumberFormat="1" applyFont="1" applyBorder="1" applyAlignment="1">
      <alignment horizontal="center" vertical="center"/>
    </xf>
    <xf numFmtId="49" fontId="47" fillId="0" borderId="47" xfId="10" applyNumberFormat="1" applyFont="1" applyBorder="1" applyAlignment="1">
      <alignment horizontal="center" vertical="center"/>
    </xf>
    <xf numFmtId="0" fontId="47" fillId="0" borderId="9" xfId="10" applyFont="1" applyBorder="1" applyAlignment="1">
      <alignment horizontal="left" vertical="center" wrapText="1" indent="4"/>
    </xf>
    <xf numFmtId="0" fontId="48" fillId="0" borderId="9" xfId="10" applyFont="1" applyBorder="1" applyAlignment="1">
      <alignment horizontal="left" wrapText="1" indent="5"/>
    </xf>
    <xf numFmtId="49" fontId="48" fillId="0" borderId="47" xfId="10" applyNumberFormat="1" applyFont="1" applyBorder="1" applyAlignment="1">
      <alignment horizontal="center" vertical="center"/>
    </xf>
    <xf numFmtId="49" fontId="48" fillId="0" borderId="9" xfId="10" applyNumberFormat="1" applyFont="1" applyBorder="1" applyAlignment="1">
      <alignment horizontal="left" wrapText="1" indent="5"/>
    </xf>
    <xf numFmtId="49" fontId="45" fillId="0" borderId="47" xfId="10" applyNumberFormat="1" applyFont="1" applyBorder="1" applyAlignment="1">
      <alignment horizontal="center" vertical="center"/>
    </xf>
    <xf numFmtId="0" fontId="43" fillId="0" borderId="9" xfId="10" applyFont="1" applyBorder="1" applyAlignment="1">
      <alignment horizontal="left" wrapText="1" indent="5"/>
    </xf>
    <xf numFmtId="49" fontId="30" fillId="0" borderId="37" xfId="10" applyNumberFormat="1" applyFont="1" applyBorder="1" applyAlignment="1">
      <alignment horizontal="center" vertical="center"/>
    </xf>
    <xf numFmtId="0" fontId="12" fillId="0" borderId="9" xfId="10" applyFont="1" applyFill="1" applyBorder="1" applyAlignment="1">
      <alignment horizontal="left" vertical="center" wrapText="1"/>
    </xf>
    <xf numFmtId="3" fontId="12" fillId="0" borderId="9" xfId="10" applyNumberFormat="1" applyFont="1" applyFill="1" applyBorder="1" applyAlignment="1">
      <alignment horizontal="right" vertical="center"/>
    </xf>
    <xf numFmtId="0" fontId="11" fillId="0" borderId="9" xfId="10" applyFont="1" applyFill="1" applyBorder="1" applyAlignment="1">
      <alignment vertical="center" wrapText="1"/>
    </xf>
    <xf numFmtId="3" fontId="45" fillId="0" borderId="47" xfId="10" applyNumberFormat="1" applyFont="1" applyBorder="1" applyAlignment="1">
      <alignment horizontal="right" vertical="center" wrapText="1"/>
    </xf>
    <xf numFmtId="0" fontId="16" fillId="0" borderId="9" xfId="10" applyFont="1" applyFill="1" applyBorder="1" applyAlignment="1">
      <alignment horizontal="left" vertical="center" wrapText="1" indent="2"/>
    </xf>
    <xf numFmtId="0" fontId="11" fillId="0" borderId="9" xfId="10" applyFont="1" applyFill="1" applyBorder="1" applyAlignment="1">
      <alignment horizontal="left" vertical="center" wrapText="1"/>
    </xf>
    <xf numFmtId="0" fontId="44" fillId="0" borderId="60" xfId="10" applyFont="1" applyBorder="1"/>
    <xf numFmtId="49" fontId="43" fillId="0" borderId="47" xfId="10" applyNumberFormat="1" applyFont="1" applyBorder="1" applyAlignment="1">
      <alignment horizontal="left" vertical="center"/>
    </xf>
    <xf numFmtId="3" fontId="43" fillId="0" borderId="9" xfId="10" applyNumberFormat="1" applyFont="1" applyBorder="1" applyAlignment="1">
      <alignment horizontal="right" vertical="center" wrapText="1"/>
    </xf>
    <xf numFmtId="3" fontId="43" fillId="0" borderId="47" xfId="10" applyNumberFormat="1" applyFont="1" applyBorder="1" applyAlignment="1">
      <alignment horizontal="right" vertical="center" wrapText="1"/>
    </xf>
    <xf numFmtId="3" fontId="48" fillId="0" borderId="48" xfId="10" applyNumberFormat="1" applyFont="1" applyBorder="1" applyAlignment="1">
      <alignment horizontal="right" vertical="center" wrapText="1"/>
    </xf>
    <xf numFmtId="3" fontId="43" fillId="0" borderId="48" xfId="10" applyNumberFormat="1" applyFont="1" applyBorder="1" applyAlignment="1">
      <alignment horizontal="right" vertical="center" wrapText="1"/>
    </xf>
    <xf numFmtId="3" fontId="45" fillId="0" borderId="9" xfId="10" applyNumberFormat="1" applyFont="1" applyBorder="1" applyAlignment="1">
      <alignment horizontal="right" vertical="center"/>
    </xf>
    <xf numFmtId="3" fontId="45" fillId="0" borderId="47" xfId="10" applyNumberFormat="1" applyFont="1" applyBorder="1" applyAlignment="1">
      <alignment horizontal="right" vertical="center"/>
    </xf>
    <xf numFmtId="49" fontId="45" fillId="0" borderId="47" xfId="10" applyNumberFormat="1" applyFont="1" applyBorder="1" applyAlignment="1">
      <alignment vertical="center"/>
    </xf>
    <xf numFmtId="3" fontId="45" fillId="0" borderId="48" xfId="10" applyNumberFormat="1" applyFont="1" applyBorder="1" applyAlignment="1">
      <alignment horizontal="right" vertical="center"/>
    </xf>
    <xf numFmtId="49" fontId="43" fillId="0" borderId="37" xfId="10" applyNumberFormat="1" applyFont="1" applyBorder="1" applyAlignment="1">
      <alignment horizontal="left" vertical="center"/>
    </xf>
    <xf numFmtId="0" fontId="43" fillId="0" borderId="9" xfId="10" applyFont="1" applyBorder="1" applyAlignment="1">
      <alignment horizontal="left" vertical="center" wrapText="1" indent="2"/>
    </xf>
    <xf numFmtId="3" fontId="43" fillId="0" borderId="48" xfId="10" applyNumberFormat="1" applyFont="1" applyBorder="1" applyAlignment="1">
      <alignment horizontal="right" vertical="center"/>
    </xf>
    <xf numFmtId="3" fontId="43" fillId="0" borderId="9" xfId="10" applyNumberFormat="1" applyFont="1" applyBorder="1" applyAlignment="1">
      <alignment horizontal="right" vertical="center"/>
    </xf>
    <xf numFmtId="3" fontId="43" fillId="0" borderId="47" xfId="10" applyNumberFormat="1" applyFont="1" applyBorder="1" applyAlignment="1">
      <alignment horizontal="right" vertical="center"/>
    </xf>
    <xf numFmtId="49" fontId="45" fillId="0" borderId="37" xfId="10" applyNumberFormat="1" applyFont="1" applyBorder="1" applyAlignment="1">
      <alignment vertical="center"/>
    </xf>
    <xf numFmtId="49" fontId="45" fillId="0" borderId="60" xfId="10" applyNumberFormat="1" applyFont="1" applyBorder="1" applyAlignment="1">
      <alignment vertical="center"/>
    </xf>
    <xf numFmtId="0" fontId="45" fillId="0" borderId="9" xfId="10" applyFont="1" applyBorder="1" applyAlignment="1">
      <alignment horizontal="left" vertical="center" wrapText="1" indent="2"/>
    </xf>
    <xf numFmtId="49" fontId="43" fillId="0" borderId="37" xfId="10" applyNumberFormat="1" applyFont="1" applyBorder="1" applyAlignment="1">
      <alignment vertical="center"/>
    </xf>
    <xf numFmtId="49" fontId="43" fillId="0" borderId="47" xfId="10" applyNumberFormat="1" applyFont="1" applyBorder="1" applyAlignment="1">
      <alignment vertical="center"/>
    </xf>
    <xf numFmtId="0" fontId="30" fillId="3" borderId="60" xfId="10" applyFont="1" applyFill="1" applyBorder="1" applyAlignment="1">
      <alignment horizontal="center" vertical="center"/>
    </xf>
    <xf numFmtId="3" fontId="45" fillId="3" borderId="47" xfId="10" applyNumberFormat="1" applyFont="1" applyFill="1" applyBorder="1" applyAlignment="1">
      <alignment horizontal="right" vertical="center"/>
    </xf>
    <xf numFmtId="0" fontId="30" fillId="0" borderId="38" xfId="10" applyFont="1" applyBorder="1" applyAlignment="1">
      <alignment horizontal="center" vertical="center"/>
    </xf>
    <xf numFmtId="0" fontId="45" fillId="0" borderId="27" xfId="10" applyFont="1" applyBorder="1" applyAlignment="1">
      <alignment horizontal="left" vertical="center" wrapText="1"/>
    </xf>
    <xf numFmtId="3" fontId="45" fillId="0" borderId="27" xfId="10" applyNumberFormat="1" applyFont="1" applyBorder="1" applyAlignment="1">
      <alignment horizontal="right" vertical="center" wrapText="1"/>
    </xf>
    <xf numFmtId="3" fontId="45" fillId="0" borderId="52" xfId="10" applyNumberFormat="1" applyFont="1" applyBorder="1" applyAlignment="1">
      <alignment horizontal="right" vertical="center" wrapText="1"/>
    </xf>
    <xf numFmtId="0" fontId="30" fillId="3" borderId="38" xfId="10" applyFont="1" applyFill="1" applyBorder="1" applyAlignment="1">
      <alignment horizontal="center" vertical="center"/>
    </xf>
    <xf numFmtId="0" fontId="45" fillId="3" borderId="27" xfId="10" applyFont="1" applyFill="1" applyBorder="1" applyAlignment="1">
      <alignment horizontal="left" vertical="center" wrapText="1"/>
    </xf>
    <xf numFmtId="3" fontId="45" fillId="3" borderId="27" xfId="10" applyNumberFormat="1" applyFont="1" applyFill="1" applyBorder="1" applyAlignment="1">
      <alignment horizontal="right" vertical="center" wrapText="1"/>
    </xf>
    <xf numFmtId="3" fontId="45" fillId="3" borderId="52" xfId="10" applyNumberFormat="1" applyFont="1" applyFill="1" applyBorder="1" applyAlignment="1">
      <alignment horizontal="right" vertical="center" wrapText="1"/>
    </xf>
    <xf numFmtId="0" fontId="7" fillId="3" borderId="0" xfId="10" applyFill="1"/>
    <xf numFmtId="0" fontId="30" fillId="2" borderId="61" xfId="10" applyFont="1" applyFill="1" applyBorder="1" applyAlignment="1">
      <alignment horizontal="center" vertical="center"/>
    </xf>
    <xf numFmtId="49" fontId="30" fillId="2" borderId="62" xfId="10" applyNumberFormat="1" applyFont="1" applyFill="1" applyBorder="1" applyAlignment="1">
      <alignment horizontal="center" vertical="center"/>
    </xf>
    <xf numFmtId="49" fontId="30" fillId="2" borderId="63" xfId="10" applyNumberFormat="1" applyFont="1" applyFill="1" applyBorder="1" applyAlignment="1">
      <alignment horizontal="center" vertical="center"/>
    </xf>
    <xf numFmtId="0" fontId="39" fillId="2" borderId="24" xfId="10" applyFont="1" applyFill="1" applyBorder="1" applyAlignment="1">
      <alignment horizontal="left" vertical="center" wrapText="1"/>
    </xf>
    <xf numFmtId="3" fontId="30" fillId="2" borderId="24" xfId="10" applyNumberFormat="1" applyFont="1" applyFill="1" applyBorder="1" applyAlignment="1">
      <alignment horizontal="right" vertical="center" wrapText="1"/>
    </xf>
    <xf numFmtId="3" fontId="46" fillId="0" borderId="0" xfId="10" applyNumberFormat="1" applyFont="1" applyAlignment="1">
      <alignment horizontal="right"/>
    </xf>
    <xf numFmtId="0" fontId="39" fillId="0" borderId="64" xfId="10" applyFont="1" applyBorder="1" applyAlignment="1">
      <alignment horizontal="center" vertical="center" wrapText="1"/>
    </xf>
    <xf numFmtId="3" fontId="30" fillId="0" borderId="2" xfId="10" applyNumberFormat="1" applyFont="1" applyBorder="1" applyAlignment="1">
      <alignment horizontal="center" vertical="center" wrapText="1"/>
    </xf>
    <xf numFmtId="0" fontId="30" fillId="0" borderId="65" xfId="10" applyFont="1" applyBorder="1" applyAlignment="1">
      <alignment horizontal="center" vertical="center"/>
    </xf>
    <xf numFmtId="0" fontId="30" fillId="0" borderId="66" xfId="10" applyFont="1" applyBorder="1" applyAlignment="1">
      <alignment horizontal="center" vertical="center"/>
    </xf>
    <xf numFmtId="0" fontId="30" fillId="0" borderId="67" xfId="10" applyFont="1" applyBorder="1" applyAlignment="1">
      <alignment horizontal="center" vertical="center"/>
    </xf>
    <xf numFmtId="0" fontId="30" fillId="0" borderId="12" xfId="10" applyFont="1" applyBorder="1" applyAlignment="1">
      <alignment horizontal="left" vertical="center" wrapText="1"/>
    </xf>
    <xf numFmtId="3" fontId="30" fillId="0" borderId="12" xfId="10" applyNumberFormat="1" applyFont="1" applyBorder="1" applyAlignment="1">
      <alignment horizontal="right" vertical="center" wrapText="1"/>
    </xf>
    <xf numFmtId="0" fontId="30" fillId="0" borderId="68" xfId="10" applyFont="1" applyBorder="1" applyAlignment="1">
      <alignment horizontal="center" vertical="center"/>
    </xf>
    <xf numFmtId="49" fontId="47" fillId="0" borderId="37" xfId="10" applyNumberFormat="1" applyFont="1" applyBorder="1" applyAlignment="1">
      <alignment horizontal="left" vertical="center"/>
    </xf>
    <xf numFmtId="0" fontId="7" fillId="0" borderId="48" xfId="10" applyBorder="1"/>
    <xf numFmtId="0" fontId="7" fillId="0" borderId="0" xfId="10" applyFont="1" applyBorder="1" applyAlignment="1">
      <alignment wrapText="1"/>
    </xf>
    <xf numFmtId="0" fontId="30" fillId="0" borderId="69" xfId="10" applyFont="1" applyBorder="1" applyAlignment="1">
      <alignment horizontal="center" vertical="center"/>
    </xf>
    <xf numFmtId="49" fontId="45" fillId="0" borderId="53" xfId="10" applyNumberFormat="1" applyFont="1" applyBorder="1" applyAlignment="1">
      <alignment horizontal="center" vertical="center"/>
    </xf>
    <xf numFmtId="0" fontId="30" fillId="2" borderId="70" xfId="10" applyFont="1" applyFill="1" applyBorder="1" applyAlignment="1">
      <alignment horizontal="center" vertical="center"/>
    </xf>
    <xf numFmtId="49" fontId="30" fillId="2" borderId="71" xfId="10" applyNumberFormat="1" applyFont="1" applyFill="1" applyBorder="1" applyAlignment="1">
      <alignment horizontal="center" vertical="center"/>
    </xf>
    <xf numFmtId="49" fontId="30" fillId="2" borderId="72" xfId="10" applyNumberFormat="1" applyFont="1" applyFill="1" applyBorder="1" applyAlignment="1">
      <alignment horizontal="center" vertical="center"/>
    </xf>
    <xf numFmtId="0" fontId="39" fillId="2" borderId="73" xfId="10" applyFont="1" applyFill="1" applyBorder="1" applyAlignment="1">
      <alignment horizontal="left" vertical="center" wrapText="1"/>
    </xf>
    <xf numFmtId="3" fontId="30" fillId="2" borderId="73" xfId="10" applyNumberFormat="1" applyFont="1" applyFill="1" applyBorder="1" applyAlignment="1">
      <alignment horizontal="right" vertical="center" wrapText="1"/>
    </xf>
    <xf numFmtId="165" fontId="12" fillId="0" borderId="0" xfId="21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/>
    <xf numFmtId="0" fontId="13" fillId="0" borderId="27" xfId="21" applyFont="1" applyFill="1" applyBorder="1" applyAlignment="1">
      <alignment horizontal="center" vertical="center" wrapText="1"/>
    </xf>
    <xf numFmtId="0" fontId="0" fillId="0" borderId="1" xfId="21" applyFont="1" applyFill="1" applyBorder="1" applyAlignment="1">
      <alignment horizontal="center" vertical="center"/>
    </xf>
    <xf numFmtId="0" fontId="0" fillId="0" borderId="2" xfId="21" applyFont="1" applyFill="1" applyBorder="1" applyAlignment="1">
      <alignment horizontal="center" vertical="center"/>
    </xf>
    <xf numFmtId="0" fontId="0" fillId="0" borderId="7" xfId="21" applyFont="1" applyFill="1" applyBorder="1" applyAlignment="1">
      <alignment horizontal="center" vertical="center"/>
    </xf>
    <xf numFmtId="0" fontId="12" fillId="0" borderId="19" xfId="21" applyFont="1" applyFill="1" applyBorder="1" applyAlignment="1">
      <alignment horizontal="center" vertical="center"/>
    </xf>
    <xf numFmtId="0" fontId="10" fillId="0" borderId="20" xfId="21" applyFont="1" applyFill="1" applyBorder="1" applyAlignment="1" applyProtection="1">
      <alignment wrapText="1"/>
      <protection locked="0"/>
    </xf>
    <xf numFmtId="169" fontId="10" fillId="0" borderId="20" xfId="7" applyNumberFormat="1" applyFont="1" applyFill="1" applyBorder="1" applyAlignment="1" applyProtection="1">
      <protection locked="0"/>
    </xf>
    <xf numFmtId="169" fontId="10" fillId="0" borderId="21" xfId="7" applyNumberFormat="1" applyFont="1" applyFill="1" applyBorder="1" applyAlignment="1" applyProtection="1"/>
    <xf numFmtId="0" fontId="12" fillId="0" borderId="8" xfId="21" applyFont="1" applyFill="1" applyBorder="1" applyAlignment="1">
      <alignment horizontal="center" vertical="center"/>
    </xf>
    <xf numFmtId="169" fontId="10" fillId="0" borderId="9" xfId="7" applyNumberFormat="1" applyFont="1" applyFill="1" applyBorder="1" applyAlignment="1" applyProtection="1">
      <protection locked="0"/>
    </xf>
    <xf numFmtId="169" fontId="10" fillId="0" borderId="10" xfId="7" applyNumberFormat="1" applyFont="1" applyFill="1" applyBorder="1" applyAlignment="1" applyProtection="1"/>
    <xf numFmtId="0" fontId="10" fillId="0" borderId="9" xfId="21" applyFont="1" applyFill="1" applyBorder="1" applyAlignment="1" applyProtection="1">
      <alignment wrapText="1"/>
      <protection locked="0"/>
    </xf>
    <xf numFmtId="0" fontId="12" fillId="0" borderId="14" xfId="21" applyFont="1" applyFill="1" applyBorder="1" applyAlignment="1">
      <alignment horizontal="center" vertical="center"/>
    </xf>
    <xf numFmtId="0" fontId="10" fillId="0" borderId="15" xfId="21" applyFont="1" applyFill="1" applyBorder="1" applyAlignment="1" applyProtection="1">
      <alignment wrapText="1"/>
      <protection locked="0"/>
    </xf>
    <xf numFmtId="169" fontId="10" fillId="0" borderId="15" xfId="7" applyNumberFormat="1" applyFont="1" applyFill="1" applyBorder="1" applyAlignment="1" applyProtection="1">
      <protection locked="0"/>
    </xf>
    <xf numFmtId="0" fontId="0" fillId="2" borderId="1" xfId="21" applyFont="1" applyFill="1" applyBorder="1" applyAlignment="1">
      <alignment horizontal="center" vertical="center"/>
    </xf>
    <xf numFmtId="0" fontId="13" fillId="2" borderId="2" xfId="21" applyFont="1" applyFill="1" applyBorder="1"/>
    <xf numFmtId="169" fontId="10" fillId="2" borderId="2" xfId="21" applyNumberFormat="1" applyFont="1" applyFill="1" applyBorder="1"/>
    <xf numFmtId="169" fontId="10" fillId="2" borderId="7" xfId="21" applyNumberFormat="1" applyFont="1" applyFill="1" applyBorder="1"/>
    <xf numFmtId="0" fontId="13" fillId="0" borderId="11" xfId="21" applyFont="1" applyFill="1" applyBorder="1" applyAlignment="1" applyProtection="1">
      <alignment horizontal="center" vertical="center" wrapText="1"/>
    </xf>
    <xf numFmtId="0" fontId="13" fillId="0" borderId="12" xfId="21" applyFont="1" applyFill="1" applyBorder="1" applyAlignment="1" applyProtection="1">
      <alignment horizontal="center" vertical="center" wrapText="1"/>
    </xf>
    <xf numFmtId="0" fontId="13" fillId="0" borderId="13" xfId="21" applyFont="1" applyFill="1" applyBorder="1" applyAlignment="1" applyProtection="1">
      <alignment horizontal="center" vertical="center" wrapText="1"/>
    </xf>
    <xf numFmtId="0" fontId="10" fillId="0" borderId="1" xfId="21" applyFont="1" applyFill="1" applyBorder="1" applyAlignment="1" applyProtection="1">
      <alignment horizontal="center" vertical="center"/>
    </xf>
    <xf numFmtId="0" fontId="10" fillId="0" borderId="2" xfId="21" applyFont="1" applyFill="1" applyBorder="1" applyAlignment="1" applyProtection="1">
      <alignment horizontal="center" vertical="center"/>
    </xf>
    <xf numFmtId="0" fontId="10" fillId="0" borderId="7" xfId="21" applyFont="1" applyFill="1" applyBorder="1" applyAlignment="1" applyProtection="1">
      <alignment horizontal="center" vertical="center"/>
    </xf>
    <xf numFmtId="0" fontId="14" fillId="0" borderId="11" xfId="21" applyFont="1" applyFill="1" applyBorder="1" applyAlignment="1" applyProtection="1">
      <alignment horizontal="center" vertical="center"/>
    </xf>
    <xf numFmtId="0" fontId="10" fillId="0" borderId="12" xfId="21" applyFont="1" applyFill="1" applyBorder="1" applyProtection="1"/>
    <xf numFmtId="0" fontId="14" fillId="0" borderId="8" xfId="21" applyFont="1" applyFill="1" applyBorder="1" applyAlignment="1" applyProtection="1">
      <alignment horizontal="center" vertical="center"/>
    </xf>
    <xf numFmtId="0" fontId="10" fillId="0" borderId="9" xfId="21" applyFont="1" applyFill="1" applyBorder="1" applyProtection="1"/>
    <xf numFmtId="0" fontId="10" fillId="0" borderId="9" xfId="21" applyFont="1" applyFill="1" applyBorder="1" applyAlignment="1" applyProtection="1">
      <alignment wrapText="1"/>
    </xf>
    <xf numFmtId="0" fontId="14" fillId="0" borderId="22" xfId="21" applyFont="1" applyFill="1" applyBorder="1" applyAlignment="1" applyProtection="1">
      <alignment horizontal="center" vertical="center"/>
    </xf>
    <xf numFmtId="0" fontId="10" fillId="0" borderId="27" xfId="21" applyFont="1" applyFill="1" applyBorder="1" applyProtection="1"/>
    <xf numFmtId="0" fontId="10" fillId="0" borderId="11" xfId="21" applyFont="1" applyFill="1" applyBorder="1" applyAlignment="1" applyProtection="1">
      <alignment horizontal="center" vertical="center"/>
    </xf>
    <xf numFmtId="0" fontId="10" fillId="0" borderId="12" xfId="21" applyFont="1" applyFill="1" applyBorder="1" applyProtection="1">
      <protection locked="0"/>
    </xf>
    <xf numFmtId="169" fontId="10" fillId="0" borderId="13" xfId="1" applyNumberFormat="1" applyFont="1" applyFill="1" applyBorder="1" applyAlignment="1" applyProtection="1">
      <protection locked="0"/>
    </xf>
    <xf numFmtId="0" fontId="10" fillId="0" borderId="8" xfId="21" applyFont="1" applyFill="1" applyBorder="1" applyAlignment="1" applyProtection="1">
      <alignment horizontal="center" vertical="center"/>
    </xf>
    <xf numFmtId="0" fontId="10" fillId="0" borderId="9" xfId="21" applyFont="1" applyFill="1" applyBorder="1" applyProtection="1">
      <protection locked="0"/>
    </xf>
    <xf numFmtId="169" fontId="10" fillId="0" borderId="10" xfId="1" applyNumberFormat="1" applyFont="1" applyFill="1" applyBorder="1" applyAlignment="1" applyProtection="1">
      <protection locked="0"/>
    </xf>
    <xf numFmtId="0" fontId="10" fillId="0" borderId="22" xfId="21" applyFont="1" applyFill="1" applyBorder="1" applyAlignment="1" applyProtection="1">
      <alignment horizontal="center" vertical="center"/>
    </xf>
    <xf numFmtId="0" fontId="10" fillId="0" borderId="27" xfId="21" applyFont="1" applyFill="1" applyBorder="1" applyProtection="1">
      <protection locked="0"/>
    </xf>
    <xf numFmtId="169" fontId="10" fillId="0" borderId="26" xfId="1" applyNumberFormat="1" applyFont="1" applyFill="1" applyBorder="1" applyAlignment="1" applyProtection="1">
      <protection locked="0"/>
    </xf>
    <xf numFmtId="0" fontId="10" fillId="2" borderId="1" xfId="21" applyFont="1" applyFill="1" applyBorder="1" applyAlignment="1" applyProtection="1">
      <alignment horizontal="center" vertical="center"/>
    </xf>
    <xf numFmtId="0" fontId="13" fillId="2" borderId="2" xfId="21" applyFont="1" applyFill="1" applyBorder="1" applyAlignment="1" applyProtection="1">
      <alignment horizontal="left" vertical="center" wrapText="1"/>
    </xf>
    <xf numFmtId="169" fontId="10" fillId="2" borderId="7" xfId="1" applyNumberFormat="1" applyFont="1" applyFill="1" applyBorder="1" applyAlignment="1" applyProtection="1"/>
    <xf numFmtId="0" fontId="9" fillId="0" borderId="0" xfId="20" applyAlignment="1">
      <alignment horizontal="center"/>
    </xf>
    <xf numFmtId="0" fontId="9" fillId="0" borderId="0" xfId="20"/>
    <xf numFmtId="3" fontId="9" fillId="0" borderId="0" xfId="20" applyNumberFormat="1" applyAlignment="1"/>
    <xf numFmtId="3" fontId="65" fillId="0" borderId="0" xfId="20" applyNumberFormat="1" applyFont="1"/>
    <xf numFmtId="0" fontId="66" fillId="0" borderId="0" xfId="20" applyFont="1"/>
    <xf numFmtId="0" fontId="37" fillId="0" borderId="0" xfId="20" applyFont="1" applyBorder="1" applyAlignment="1">
      <alignment horizontal="center" vertical="center"/>
    </xf>
    <xf numFmtId="3" fontId="9" fillId="0" borderId="0" xfId="20" applyNumberFormat="1"/>
    <xf numFmtId="0" fontId="69" fillId="0" borderId="0" xfId="17" applyFill="1"/>
    <xf numFmtId="0" fontId="67" fillId="0" borderId="0" xfId="17" applyFont="1" applyFill="1" applyAlignment="1">
      <alignment vertical="center"/>
    </xf>
    <xf numFmtId="0" fontId="13" fillId="0" borderId="4" xfId="17" applyFont="1" applyFill="1" applyBorder="1" applyAlignment="1">
      <alignment vertical="center"/>
    </xf>
    <xf numFmtId="0" fontId="13" fillId="0" borderId="5" xfId="17" applyFont="1" applyFill="1" applyBorder="1" applyAlignment="1">
      <alignment horizontal="center" vertical="center"/>
    </xf>
    <xf numFmtId="0" fontId="13" fillId="0" borderId="6" xfId="17" applyFont="1" applyFill="1" applyBorder="1" applyAlignment="1">
      <alignment horizontal="center" vertical="center"/>
    </xf>
    <xf numFmtId="49" fontId="10" fillId="0" borderId="11" xfId="17" applyNumberFormat="1" applyFont="1" applyFill="1" applyBorder="1" applyAlignment="1">
      <alignment vertical="center"/>
    </xf>
    <xf numFmtId="3" fontId="10" fillId="0" borderId="12" xfId="17" applyNumberFormat="1" applyFont="1" applyFill="1" applyBorder="1" applyAlignment="1" applyProtection="1">
      <alignment vertical="center"/>
      <protection locked="0"/>
    </xf>
    <xf numFmtId="49" fontId="28" fillId="0" borderId="1" xfId="17" applyNumberFormat="1" applyFont="1" applyFill="1" applyBorder="1" applyAlignment="1">
      <alignment vertical="center"/>
    </xf>
    <xf numFmtId="3" fontId="13" fillId="0" borderId="2" xfId="17" applyNumberFormat="1" applyFont="1" applyFill="1" applyBorder="1" applyAlignment="1">
      <alignment vertical="center"/>
    </xf>
    <xf numFmtId="3" fontId="13" fillId="0" borderId="7" xfId="17" applyNumberFormat="1" applyFont="1" applyFill="1" applyBorder="1" applyAlignment="1">
      <alignment vertical="center"/>
    </xf>
    <xf numFmtId="0" fontId="69" fillId="0" borderId="0" xfId="17" applyFill="1" applyAlignment="1">
      <alignment vertical="center"/>
    </xf>
    <xf numFmtId="49" fontId="28" fillId="0" borderId="0" xfId="17" applyNumberFormat="1" applyFont="1" applyFill="1" applyBorder="1" applyAlignment="1">
      <alignment vertical="center"/>
    </xf>
    <xf numFmtId="3" fontId="13" fillId="0" borderId="0" xfId="17" applyNumberFormat="1" applyFont="1" applyFill="1" applyBorder="1" applyAlignment="1">
      <alignment vertical="center"/>
    </xf>
    <xf numFmtId="0" fontId="13" fillId="0" borderId="0" xfId="17" applyFont="1" applyFill="1" applyAlignment="1">
      <alignment vertical="center"/>
    </xf>
    <xf numFmtId="49" fontId="10" fillId="0" borderId="76" xfId="17" applyNumberFormat="1" applyFont="1" applyFill="1" applyBorder="1" applyAlignment="1">
      <alignment vertical="center"/>
    </xf>
    <xf numFmtId="49" fontId="10" fillId="0" borderId="66" xfId="17" applyNumberFormat="1" applyFont="1" applyFill="1" applyBorder="1" applyAlignment="1">
      <alignment vertical="center"/>
    </xf>
    <xf numFmtId="49" fontId="10" fillId="0" borderId="67" xfId="17" applyNumberFormat="1" applyFont="1" applyFill="1" applyBorder="1" applyAlignment="1">
      <alignment vertical="center"/>
    </xf>
    <xf numFmtId="49" fontId="28" fillId="0" borderId="44" xfId="17" applyNumberFormat="1" applyFont="1" applyFill="1" applyBorder="1" applyAlignment="1">
      <alignment vertical="center"/>
    </xf>
    <xf numFmtId="49" fontId="10" fillId="0" borderId="45" xfId="17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165" fontId="16" fillId="0" borderId="0" xfId="0" applyNumberFormat="1" applyFont="1" applyFill="1" applyAlignment="1">
      <alignment horizontal="center" vertical="center" wrapText="1"/>
    </xf>
    <xf numFmtId="165" fontId="68" fillId="0" borderId="0" xfId="0" applyNumberFormat="1" applyFont="1" applyFill="1" applyAlignment="1">
      <alignment vertical="center" wrapText="1"/>
    </xf>
    <xf numFmtId="165" fontId="13" fillId="0" borderId="0" xfId="0" applyNumberFormat="1" applyFont="1" applyFill="1" applyAlignment="1">
      <alignment horizontal="right" vertical="center"/>
    </xf>
    <xf numFmtId="165" fontId="16" fillId="0" borderId="0" xfId="0" applyNumberFormat="1" applyFont="1" applyFill="1" applyAlignment="1">
      <alignment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0" fontId="26" fillId="0" borderId="7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 applyProtection="1">
      <alignment horizontal="left" vertical="center" wrapText="1" indent="1"/>
    </xf>
    <xf numFmtId="0" fontId="14" fillId="0" borderId="8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 applyProtection="1">
      <alignment horizontal="left" vertical="center" wrapText="1" indent="1"/>
    </xf>
    <xf numFmtId="165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47" xfId="0" applyFont="1" applyFill="1" applyBorder="1" applyAlignment="1" applyProtection="1">
      <alignment horizontal="left" vertical="center" wrapText="1" indent="8"/>
    </xf>
    <xf numFmtId="0" fontId="14" fillId="0" borderId="20" xfId="0" applyFont="1" applyFill="1" applyBorder="1" applyAlignment="1" applyProtection="1">
      <alignment vertical="center" wrapText="1"/>
      <protection locked="0"/>
    </xf>
    <xf numFmtId="165" fontId="14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9" xfId="0" applyFont="1" applyFill="1" applyBorder="1" applyAlignment="1" applyProtection="1">
      <alignment vertical="center" wrapText="1"/>
      <protection locked="0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 applyProtection="1">
      <alignment vertical="center" wrapText="1"/>
      <protection locked="0"/>
    </xf>
    <xf numFmtId="165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7" xfId="0" applyFont="1" applyFill="1" applyBorder="1" applyAlignment="1" applyProtection="1">
      <alignment vertical="center" wrapText="1"/>
    </xf>
    <xf numFmtId="165" fontId="28" fillId="0" borderId="17" xfId="0" applyNumberFormat="1" applyFont="1" applyFill="1" applyBorder="1" applyAlignment="1" applyProtection="1">
      <alignment vertical="center" wrapText="1"/>
    </xf>
    <xf numFmtId="165" fontId="28" fillId="0" borderId="28" xfId="0" applyNumberFormat="1" applyFont="1" applyFill="1" applyBorder="1" applyAlignment="1" applyProtection="1">
      <alignment vertical="center" wrapText="1"/>
    </xf>
    <xf numFmtId="0" fontId="10" fillId="0" borderId="0" xfId="22" applyFill="1" applyProtection="1"/>
    <xf numFmtId="0" fontId="10" fillId="0" borderId="0" xfId="22" applyFill="1" applyProtection="1">
      <protection locked="0"/>
    </xf>
    <xf numFmtId="0" fontId="12" fillId="0" borderId="0" xfId="0" applyFont="1" applyFill="1" applyAlignment="1">
      <alignment horizontal="right"/>
    </xf>
    <xf numFmtId="0" fontId="29" fillId="0" borderId="4" xfId="22" applyFont="1" applyFill="1" applyBorder="1" applyAlignment="1" applyProtection="1">
      <alignment horizontal="center" vertical="center" wrapText="1"/>
    </xf>
    <xf numFmtId="0" fontId="29" fillId="0" borderId="5" xfId="22" applyFont="1" applyFill="1" applyBorder="1" applyAlignment="1" applyProtection="1">
      <alignment horizontal="center" vertical="center"/>
    </xf>
    <xf numFmtId="0" fontId="29" fillId="0" borderId="6" xfId="22" applyFont="1" applyFill="1" applyBorder="1" applyAlignment="1" applyProtection="1">
      <alignment horizontal="center" vertical="center"/>
    </xf>
    <xf numFmtId="0" fontId="14" fillId="0" borderId="1" xfId="22" applyFont="1" applyFill="1" applyBorder="1" applyAlignment="1" applyProtection="1">
      <alignment horizontal="left" vertical="center" indent="1"/>
    </xf>
    <xf numFmtId="0" fontId="10" fillId="0" borderId="0" xfId="22" applyFill="1" applyAlignment="1" applyProtection="1">
      <alignment vertical="center"/>
    </xf>
    <xf numFmtId="0" fontId="14" fillId="0" borderId="14" xfId="22" applyFont="1" applyFill="1" applyBorder="1" applyAlignment="1" applyProtection="1">
      <alignment horizontal="left" vertical="center" indent="1"/>
    </xf>
    <xf numFmtId="0" fontId="14" fillId="0" borderId="15" xfId="22" applyFont="1" applyFill="1" applyBorder="1" applyAlignment="1" applyProtection="1">
      <alignment horizontal="left" vertical="center" indent="1"/>
    </xf>
    <xf numFmtId="165" fontId="14" fillId="0" borderId="15" xfId="22" applyNumberFormat="1" applyFont="1" applyFill="1" applyBorder="1" applyAlignment="1" applyProtection="1">
      <alignment vertical="center"/>
      <protection locked="0"/>
    </xf>
    <xf numFmtId="165" fontId="14" fillId="0" borderId="25" xfId="22" applyNumberFormat="1" applyFont="1" applyFill="1" applyBorder="1" applyAlignment="1" applyProtection="1">
      <alignment vertical="center"/>
    </xf>
    <xf numFmtId="0" fontId="10" fillId="0" borderId="0" xfId="22" applyFill="1" applyAlignment="1" applyProtection="1">
      <alignment vertical="center"/>
      <protection locked="0"/>
    </xf>
    <xf numFmtId="0" fontId="29" fillId="0" borderId="2" xfId="22" applyFont="1" applyFill="1" applyBorder="1" applyAlignment="1" applyProtection="1">
      <alignment horizontal="left" vertical="center" indent="1"/>
    </xf>
    <xf numFmtId="165" fontId="26" fillId="0" borderId="2" xfId="22" applyNumberFormat="1" applyFont="1" applyFill="1" applyBorder="1" applyAlignment="1" applyProtection="1">
      <alignment vertical="center"/>
    </xf>
    <xf numFmtId="165" fontId="26" fillId="0" borderId="7" xfId="22" applyNumberFormat="1" applyFont="1" applyFill="1" applyBorder="1" applyAlignment="1" applyProtection="1">
      <alignment vertical="center"/>
    </xf>
    <xf numFmtId="0" fontId="29" fillId="0" borderId="2" xfId="22" applyFont="1" applyFill="1" applyBorder="1" applyAlignment="1" applyProtection="1">
      <alignment horizontal="left" indent="1"/>
    </xf>
    <xf numFmtId="165" fontId="26" fillId="0" borderId="2" xfId="22" applyNumberFormat="1" applyFont="1" applyFill="1" applyBorder="1" applyProtection="1"/>
    <xf numFmtId="165" fontId="26" fillId="0" borderId="7" xfId="22" applyNumberFormat="1" applyFont="1" applyFill="1" applyBorder="1" applyProtection="1"/>
    <xf numFmtId="0" fontId="0" fillId="0" borderId="0" xfId="22" applyFont="1" applyFill="1" applyProtection="1"/>
    <xf numFmtId="0" fontId="12" fillId="0" borderId="0" xfId="22" applyFont="1" applyFill="1" applyProtection="1">
      <protection locked="0"/>
    </xf>
    <xf numFmtId="0" fontId="13" fillId="0" borderId="0" xfId="22" applyFont="1" applyFill="1" applyProtection="1">
      <protection locked="0"/>
    </xf>
    <xf numFmtId="0" fontId="7" fillId="0" borderId="0" xfId="11"/>
    <xf numFmtId="49" fontId="7" fillId="0" borderId="0" xfId="11" applyNumberFormat="1"/>
    <xf numFmtId="0" fontId="39" fillId="0" borderId="5" xfId="11" applyFont="1" applyBorder="1" applyAlignment="1">
      <alignment horizontal="center" vertical="center" wrapText="1"/>
    </xf>
    <xf numFmtId="0" fontId="39" fillId="0" borderId="5" xfId="10" applyFont="1" applyBorder="1" applyAlignment="1">
      <alignment horizontal="center" vertical="center" wrapText="1"/>
    </xf>
    <xf numFmtId="0" fontId="39" fillId="0" borderId="6" xfId="10" applyFont="1" applyBorder="1" applyAlignment="1">
      <alignment horizontal="center" vertical="center" wrapText="1"/>
    </xf>
    <xf numFmtId="0" fontId="39" fillId="0" borderId="77" xfId="11" applyFont="1" applyBorder="1"/>
    <xf numFmtId="49" fontId="55" fillId="3" borderId="78" xfId="11" applyNumberFormat="1" applyFont="1" applyFill="1" applyBorder="1" applyAlignment="1"/>
    <xf numFmtId="49" fontId="39" fillId="3" borderId="58" xfId="11" applyNumberFormat="1" applyFont="1" applyFill="1" applyBorder="1" applyAlignment="1"/>
    <xf numFmtId="0" fontId="55" fillId="3" borderId="59" xfId="11" applyFont="1" applyFill="1" applyBorder="1"/>
    <xf numFmtId="3" fontId="55" fillId="3" borderId="59" xfId="11" applyNumberFormat="1" applyFont="1" applyFill="1" applyBorder="1"/>
    <xf numFmtId="3" fontId="55" fillId="3" borderId="79" xfId="11" applyNumberFormat="1" applyFont="1" applyFill="1" applyBorder="1"/>
    <xf numFmtId="0" fontId="45" fillId="0" borderId="80" xfId="11" applyFont="1" applyBorder="1"/>
    <xf numFmtId="49" fontId="45" fillId="0" borderId="50" xfId="11" applyNumberFormat="1" applyFont="1" applyBorder="1"/>
    <xf numFmtId="49" fontId="30" fillId="0" borderId="51" xfId="11" applyNumberFormat="1" applyFont="1" applyBorder="1"/>
    <xf numFmtId="49" fontId="45" fillId="0" borderId="51" xfId="11" applyNumberFormat="1" applyFont="1" applyBorder="1"/>
    <xf numFmtId="3" fontId="45" fillId="0" borderId="20" xfId="11" applyNumberFormat="1" applyFont="1" applyBorder="1"/>
    <xf numFmtId="3" fontId="45" fillId="0" borderId="21" xfId="11" applyNumberFormat="1" applyFont="1" applyBorder="1"/>
    <xf numFmtId="0" fontId="45" fillId="0" borderId="60" xfId="11" applyFont="1" applyBorder="1"/>
    <xf numFmtId="49" fontId="45" fillId="0" borderId="37" xfId="11" applyNumberFormat="1" applyFont="1" applyBorder="1"/>
    <xf numFmtId="49" fontId="30" fillId="0" borderId="47" xfId="11" applyNumberFormat="1" applyFont="1" applyBorder="1"/>
    <xf numFmtId="49" fontId="45" fillId="0" borderId="47" xfId="11" applyNumberFormat="1" applyFont="1" applyBorder="1"/>
    <xf numFmtId="3" fontId="45" fillId="0" borderId="9" xfId="11" applyNumberFormat="1" applyFont="1" applyBorder="1"/>
    <xf numFmtId="3" fontId="45" fillId="0" borderId="10" xfId="11" applyNumberFormat="1" applyFont="1" applyBorder="1"/>
    <xf numFmtId="49" fontId="19" fillId="0" borderId="37" xfId="11" applyNumberFormat="1" applyFont="1" applyBorder="1"/>
    <xf numFmtId="49" fontId="19" fillId="0" borderId="47" xfId="11" applyNumberFormat="1" applyFont="1" applyBorder="1"/>
    <xf numFmtId="3" fontId="19" fillId="0" borderId="9" xfId="11" applyNumberFormat="1" applyFont="1" applyBorder="1"/>
    <xf numFmtId="3" fontId="19" fillId="0" borderId="10" xfId="11" applyNumberFormat="1" applyFont="1" applyBorder="1"/>
    <xf numFmtId="49" fontId="30" fillId="0" borderId="37" xfId="11" applyNumberFormat="1" applyFont="1" applyBorder="1"/>
    <xf numFmtId="0" fontId="30" fillId="0" borderId="9" xfId="11" applyFont="1" applyBorder="1" applyAlignment="1">
      <alignment wrapText="1"/>
    </xf>
    <xf numFmtId="3" fontId="30" fillId="0" borderId="9" xfId="11" applyNumberFormat="1" applyFont="1" applyBorder="1"/>
    <xf numFmtId="3" fontId="30" fillId="0" borderId="10" xfId="11" applyNumberFormat="1" applyFont="1" applyBorder="1"/>
    <xf numFmtId="0" fontId="30" fillId="0" borderId="60" xfId="11" applyFont="1" applyBorder="1"/>
    <xf numFmtId="0" fontId="45" fillId="0" borderId="9" xfId="11" applyFont="1" applyBorder="1"/>
    <xf numFmtId="49" fontId="31" fillId="0" borderId="47" xfId="11" applyNumberFormat="1" applyFont="1" applyBorder="1"/>
    <xf numFmtId="3" fontId="43" fillId="0" borderId="9" xfId="11" applyNumberFormat="1" applyFont="1" applyBorder="1"/>
    <xf numFmtId="3" fontId="43" fillId="0" borderId="10" xfId="11" applyNumberFormat="1" applyFont="1" applyBorder="1"/>
    <xf numFmtId="0" fontId="30" fillId="0" borderId="80" xfId="11" applyFont="1" applyBorder="1"/>
    <xf numFmtId="49" fontId="30" fillId="0" borderId="50" xfId="11" applyNumberFormat="1" applyFont="1" applyBorder="1"/>
    <xf numFmtId="0" fontId="30" fillId="0" borderId="20" xfId="11" applyFont="1" applyBorder="1"/>
    <xf numFmtId="3" fontId="30" fillId="0" borderId="20" xfId="11" applyNumberFormat="1" applyFont="1" applyBorder="1"/>
    <xf numFmtId="3" fontId="30" fillId="0" borderId="21" xfId="11" applyNumberFormat="1" applyFont="1" applyBorder="1"/>
    <xf numFmtId="0" fontId="19" fillId="0" borderId="9" xfId="11" applyFont="1" applyBorder="1"/>
    <xf numFmtId="0" fontId="19" fillId="0" borderId="61" xfId="11" applyFont="1" applyBorder="1"/>
    <xf numFmtId="49" fontId="19" fillId="0" borderId="62" xfId="11" applyNumberFormat="1" applyFont="1" applyBorder="1"/>
    <xf numFmtId="49" fontId="19" fillId="0" borderId="63" xfId="11" applyNumberFormat="1" applyFont="1" applyBorder="1"/>
    <xf numFmtId="0" fontId="19" fillId="0" borderId="24" xfId="11" applyFont="1" applyBorder="1"/>
    <xf numFmtId="3" fontId="19" fillId="0" borderId="24" xfId="11" applyNumberFormat="1" applyFont="1" applyBorder="1"/>
    <xf numFmtId="3" fontId="19" fillId="0" borderId="18" xfId="11" applyNumberFormat="1" applyFont="1" applyBorder="1"/>
    <xf numFmtId="0" fontId="25" fillId="0" borderId="1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right" vertical="center" indent="1"/>
    </xf>
    <xf numFmtId="0" fontId="11" fillId="0" borderId="8" xfId="0" applyFont="1" applyBorder="1" applyAlignment="1" applyProtection="1">
      <alignment horizontal="right" vertical="center" indent="1"/>
    </xf>
    <xf numFmtId="0" fontId="10" fillId="0" borderId="9" xfId="0" applyFont="1" applyBorder="1" applyAlignment="1" applyProtection="1">
      <alignment horizontal="left" vertical="center" indent="1"/>
      <protection locked="0"/>
    </xf>
    <xf numFmtId="3" fontId="40" fillId="2" borderId="18" xfId="10" applyNumberFormat="1" applyFont="1" applyFill="1" applyBorder="1"/>
    <xf numFmtId="165" fontId="10" fillId="0" borderId="81" xfId="0" applyNumberFormat="1" applyFont="1" applyFill="1" applyBorder="1" applyAlignment="1" applyProtection="1">
      <alignment vertical="center" wrapText="1"/>
    </xf>
    <xf numFmtId="165" fontId="13" fillId="0" borderId="43" xfId="0" applyNumberFormat="1" applyFont="1" applyFill="1" applyBorder="1" applyAlignment="1" applyProtection="1">
      <alignment vertical="center" wrapText="1"/>
    </xf>
    <xf numFmtId="165" fontId="13" fillId="0" borderId="81" xfId="0" applyNumberFormat="1" applyFont="1" applyFill="1" applyBorder="1" applyAlignment="1" applyProtection="1">
      <alignment vertical="center" wrapText="1"/>
    </xf>
    <xf numFmtId="165" fontId="0" fillId="0" borderId="81" xfId="0" applyNumberFormat="1" applyFill="1" applyBorder="1" applyAlignment="1">
      <alignment vertical="center" wrapText="1"/>
    </xf>
    <xf numFmtId="3" fontId="28" fillId="0" borderId="82" xfId="0" applyNumberFormat="1" applyFont="1" applyFill="1" applyBorder="1" applyAlignment="1">
      <alignment horizontal="right" vertical="center" wrapText="1"/>
    </xf>
    <xf numFmtId="165" fontId="24" fillId="0" borderId="0" xfId="0" applyNumberFormat="1" applyFont="1" applyFill="1" applyAlignment="1">
      <alignment vertical="center" wrapText="1"/>
    </xf>
    <xf numFmtId="3" fontId="10" fillId="0" borderId="0" xfId="0" applyNumberFormat="1" applyFont="1" applyFill="1" applyBorder="1" applyAlignment="1" applyProtection="1">
      <alignment vertical="center" wrapText="1"/>
    </xf>
    <xf numFmtId="3" fontId="13" fillId="0" borderId="0" xfId="21" applyNumberFormat="1" applyFont="1" applyFill="1"/>
    <xf numFmtId="3" fontId="11" fillId="0" borderId="13" xfId="21" applyNumberFormat="1" applyFont="1" applyFill="1" applyBorder="1"/>
    <xf numFmtId="3" fontId="10" fillId="0" borderId="0" xfId="21" applyNumberFormat="1" applyFill="1"/>
    <xf numFmtId="172" fontId="10" fillId="0" borderId="13" xfId="7" applyNumberFormat="1" applyFont="1" applyFill="1" applyBorder="1" applyAlignment="1" applyProtection="1">
      <protection locked="0"/>
    </xf>
    <xf numFmtId="172" fontId="10" fillId="0" borderId="10" xfId="7" applyNumberFormat="1" applyFont="1" applyFill="1" applyBorder="1" applyAlignment="1" applyProtection="1">
      <protection locked="0"/>
    </xf>
    <xf numFmtId="172" fontId="10" fillId="0" borderId="26" xfId="7" applyNumberFormat="1" applyFont="1" applyFill="1" applyBorder="1" applyAlignment="1" applyProtection="1">
      <protection locked="0"/>
    </xf>
    <xf numFmtId="172" fontId="13" fillId="2" borderId="7" xfId="7" applyNumberFormat="1" applyFont="1" applyFill="1" applyBorder="1" applyAlignment="1" applyProtection="1"/>
    <xf numFmtId="165" fontId="70" fillId="0" borderId="81" xfId="0" applyNumberFormat="1" applyFont="1" applyFill="1" applyBorder="1" applyAlignment="1" applyProtection="1">
      <alignment vertical="center" wrapText="1"/>
      <protection locked="0"/>
    </xf>
    <xf numFmtId="3" fontId="12" fillId="0" borderId="2" xfId="0" applyNumberFormat="1" applyFont="1" applyFill="1" applyBorder="1" applyAlignment="1" applyProtection="1">
      <alignment vertical="center" wrapText="1"/>
    </xf>
    <xf numFmtId="3" fontId="11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70" fillId="0" borderId="17" xfId="21" applyFont="1" applyFill="1" applyBorder="1" applyAlignment="1" applyProtection="1">
      <alignment horizontal="left" vertical="center" wrapText="1" indent="2"/>
    </xf>
    <xf numFmtId="3" fontId="70" fillId="0" borderId="28" xfId="21" applyNumberFormat="1" applyFont="1" applyFill="1" applyBorder="1" applyAlignment="1" applyProtection="1">
      <alignment horizontal="right" vertical="center" wrapText="1"/>
    </xf>
    <xf numFmtId="3" fontId="70" fillId="0" borderId="18" xfId="21" applyNumberFormat="1" applyFont="1" applyFill="1" applyBorder="1" applyAlignment="1" applyProtection="1">
      <alignment horizontal="right" vertical="center" wrapText="1"/>
    </xf>
    <xf numFmtId="3" fontId="12" fillId="0" borderId="3" xfId="21" applyNumberFormat="1" applyFont="1" applyFill="1" applyBorder="1" applyAlignment="1" applyProtection="1">
      <alignment vertical="center" wrapText="1"/>
    </xf>
    <xf numFmtId="2" fontId="0" fillId="0" borderId="0" xfId="0" applyNumberFormat="1" applyFill="1" applyAlignment="1">
      <alignment vertical="center" wrapText="1"/>
    </xf>
    <xf numFmtId="165" fontId="71" fillId="0" borderId="0" xfId="0" applyNumberFormat="1" applyFont="1" applyFill="1" applyAlignment="1" applyProtection="1">
      <alignment vertical="center" wrapText="1"/>
    </xf>
    <xf numFmtId="165" fontId="10" fillId="0" borderId="0" xfId="22" applyNumberFormat="1" applyFill="1" applyProtection="1">
      <protection locked="0"/>
    </xf>
    <xf numFmtId="165" fontId="10" fillId="0" borderId="0" xfId="22" applyNumberFormat="1" applyFill="1" applyProtection="1"/>
    <xf numFmtId="0" fontId="13" fillId="0" borderId="7" xfId="21" applyFont="1" applyFill="1" applyBorder="1" applyAlignment="1" applyProtection="1">
      <alignment horizontal="center" vertical="center" wrapText="1"/>
    </xf>
    <xf numFmtId="165" fontId="18" fillId="0" borderId="81" xfId="0" applyNumberFormat="1" applyFont="1" applyFill="1" applyBorder="1" applyAlignment="1" applyProtection="1">
      <alignment vertical="center" wrapText="1"/>
    </xf>
    <xf numFmtId="0" fontId="31" fillId="0" borderId="41" xfId="0" applyFont="1" applyBorder="1" applyAlignment="1" applyProtection="1">
      <alignment horizontal="left" vertical="center" wrapText="1" indent="1"/>
    </xf>
    <xf numFmtId="165" fontId="18" fillId="0" borderId="42" xfId="0" applyNumberFormat="1" applyFont="1" applyFill="1" applyBorder="1" applyAlignment="1" applyProtection="1">
      <alignment vertical="center" wrapText="1"/>
    </xf>
    <xf numFmtId="0" fontId="13" fillId="0" borderId="43" xfId="0" applyFont="1" applyFill="1" applyBorder="1" applyAlignment="1" applyProtection="1">
      <alignment horizontal="center" vertical="center" wrapText="1"/>
    </xf>
    <xf numFmtId="0" fontId="13" fillId="0" borderId="42" xfId="0" applyFont="1" applyFill="1" applyBorder="1" applyAlignment="1" applyProtection="1">
      <alignment horizontal="center" vertical="center" wrapText="1"/>
    </xf>
    <xf numFmtId="165" fontId="11" fillId="0" borderId="82" xfId="0" applyNumberFormat="1" applyFont="1" applyFill="1" applyBorder="1" applyAlignment="1" applyProtection="1">
      <alignment vertical="center" wrapText="1"/>
      <protection locked="0"/>
    </xf>
    <xf numFmtId="165" fontId="11" fillId="0" borderId="81" xfId="0" applyNumberFormat="1" applyFont="1" applyFill="1" applyBorder="1" applyAlignment="1" applyProtection="1">
      <alignment vertical="center" wrapText="1"/>
      <protection locked="0"/>
    </xf>
    <xf numFmtId="165" fontId="11" fillId="0" borderId="40" xfId="0" applyNumberFormat="1" applyFont="1" applyFill="1" applyBorder="1" applyAlignment="1" applyProtection="1">
      <alignment vertical="center" wrapText="1"/>
      <protection locked="0"/>
    </xf>
    <xf numFmtId="165" fontId="11" fillId="0" borderId="83" xfId="0" applyNumberFormat="1" applyFont="1" applyFill="1" applyBorder="1" applyAlignment="1" applyProtection="1">
      <alignment vertical="center" wrapText="1"/>
      <protection locked="0"/>
    </xf>
    <xf numFmtId="165" fontId="11" fillId="0" borderId="84" xfId="0" applyNumberFormat="1" applyFont="1" applyFill="1" applyBorder="1" applyAlignment="1" applyProtection="1">
      <alignment vertical="center" wrapText="1"/>
      <protection locked="0"/>
    </xf>
    <xf numFmtId="165" fontId="11" fillId="0" borderId="85" xfId="0" applyNumberFormat="1" applyFont="1" applyFill="1" applyBorder="1" applyAlignment="1" applyProtection="1">
      <alignment vertical="center" wrapText="1"/>
      <protection locked="0"/>
    </xf>
    <xf numFmtId="4" fontId="1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5" fontId="29" fillId="0" borderId="53" xfId="0" applyNumberFormat="1" applyFont="1" applyFill="1" applyBorder="1" applyAlignment="1" applyProtection="1">
      <alignment horizontal="center" vertical="center" wrapText="1"/>
    </xf>
    <xf numFmtId="165" fontId="11" fillId="0" borderId="15" xfId="0" applyNumberFormat="1" applyFont="1" applyFill="1" applyBorder="1" applyAlignment="1" applyProtection="1">
      <alignment vertical="center" wrapText="1"/>
      <protection locked="0"/>
    </xf>
    <xf numFmtId="3" fontId="11" fillId="0" borderId="5" xfId="0" applyNumberFormat="1" applyFont="1" applyFill="1" applyBorder="1" applyAlignment="1" applyProtection="1">
      <alignment vertical="center" wrapText="1"/>
      <protection locked="0"/>
    </xf>
    <xf numFmtId="165" fontId="11" fillId="0" borderId="24" xfId="0" applyNumberFormat="1" applyFont="1" applyFill="1" applyBorder="1" applyAlignment="1" applyProtection="1">
      <alignment vertical="center" wrapText="1"/>
      <protection locked="0"/>
    </xf>
    <xf numFmtId="165" fontId="70" fillId="0" borderId="86" xfId="0" applyNumberFormat="1" applyFont="1" applyFill="1" applyBorder="1" applyAlignment="1" applyProtection="1">
      <alignment vertical="center" wrapText="1"/>
      <protection locked="0"/>
    </xf>
    <xf numFmtId="165" fontId="12" fillId="0" borderId="41" xfId="0" applyNumberFormat="1" applyFont="1" applyFill="1" applyBorder="1" applyAlignment="1" applyProtection="1">
      <alignment vertical="center" wrapText="1"/>
      <protection locked="0"/>
    </xf>
    <xf numFmtId="165" fontId="18" fillId="0" borderId="41" xfId="0" applyNumberFormat="1" applyFont="1" applyFill="1" applyBorder="1" applyAlignment="1" applyProtection="1">
      <alignment vertical="center" wrapText="1"/>
    </xf>
    <xf numFmtId="165" fontId="11" fillId="0" borderId="12" xfId="0" applyNumberFormat="1" applyFont="1" applyFill="1" applyBorder="1" applyAlignment="1" applyProtection="1">
      <alignment vertical="center" wrapText="1"/>
      <protection locked="0"/>
    </xf>
    <xf numFmtId="3" fontId="12" fillId="0" borderId="2" xfId="0" applyNumberFormat="1" applyFont="1" applyFill="1" applyBorder="1" applyAlignment="1" applyProtection="1">
      <alignment vertical="center" wrapText="1"/>
      <protection locked="0"/>
    </xf>
    <xf numFmtId="165" fontId="12" fillId="0" borderId="41" xfId="0" applyNumberFormat="1" applyFont="1" applyFill="1" applyBorder="1" applyAlignment="1" applyProtection="1">
      <alignment vertical="center" wrapText="1"/>
    </xf>
    <xf numFmtId="165" fontId="11" fillId="0" borderId="87" xfId="0" applyNumberFormat="1" applyFont="1" applyFill="1" applyBorder="1" applyAlignment="1" applyProtection="1">
      <alignment vertical="center" wrapText="1"/>
      <protection locked="0"/>
    </xf>
    <xf numFmtId="165" fontId="12" fillId="0" borderId="41" xfId="0" applyNumberFormat="1" applyFont="1" applyFill="1" applyBorder="1" applyAlignment="1" applyProtection="1">
      <alignment horizontal="center" vertical="center" wrapText="1"/>
    </xf>
    <xf numFmtId="165" fontId="12" fillId="0" borderId="2" xfId="0" applyNumberFormat="1" applyFont="1" applyFill="1" applyBorder="1" applyAlignment="1" applyProtection="1">
      <alignment vertical="center" wrapText="1"/>
      <protection locked="0"/>
    </xf>
    <xf numFmtId="165" fontId="18" fillId="0" borderId="2" xfId="0" applyNumberFormat="1" applyFont="1" applyFill="1" applyBorder="1" applyAlignment="1" applyProtection="1">
      <alignment vertical="center" wrapText="1"/>
    </xf>
    <xf numFmtId="0" fontId="11" fillId="0" borderId="86" xfId="0" applyFont="1" applyFill="1" applyBorder="1" applyAlignment="1" applyProtection="1">
      <alignment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37" xfId="10" applyFont="1" applyFill="1" applyBorder="1" applyAlignment="1"/>
    <xf numFmtId="0" fontId="7" fillId="0" borderId="37" xfId="10" applyFill="1" applyBorder="1" applyAlignment="1"/>
    <xf numFmtId="3" fontId="19" fillId="0" borderId="37" xfId="10" applyNumberFormat="1" applyFont="1" applyFill="1" applyBorder="1"/>
    <xf numFmtId="0" fontId="41" fillId="0" borderId="49" xfId="10" applyFont="1" applyBorder="1"/>
    <xf numFmtId="49" fontId="19" fillId="0" borderId="50" xfId="10" applyNumberFormat="1" applyFont="1" applyBorder="1"/>
    <xf numFmtId="49" fontId="19" fillId="0" borderId="51" xfId="10" applyNumberFormat="1" applyFont="1" applyBorder="1"/>
    <xf numFmtId="0" fontId="19" fillId="0" borderId="20" xfId="10" applyFont="1" applyBorder="1"/>
    <xf numFmtId="3" fontId="19" fillId="0" borderId="20" xfId="10" applyNumberFormat="1" applyFont="1" applyBorder="1"/>
    <xf numFmtId="0" fontId="43" fillId="0" borderId="74" xfId="10" applyFont="1" applyBorder="1"/>
    <xf numFmtId="49" fontId="31" fillId="0" borderId="62" xfId="10" applyNumberFormat="1" applyFont="1" applyBorder="1"/>
    <xf numFmtId="49" fontId="48" fillId="0" borderId="63" xfId="10" applyNumberFormat="1" applyFont="1" applyBorder="1"/>
    <xf numFmtId="0" fontId="43" fillId="0" borderId="24" xfId="10" applyFont="1" applyBorder="1"/>
    <xf numFmtId="3" fontId="43" fillId="0" borderId="24" xfId="10" applyNumberFormat="1" applyFont="1" applyBorder="1"/>
    <xf numFmtId="3" fontId="30" fillId="0" borderId="21" xfId="10" applyNumberFormat="1" applyFont="1" applyBorder="1"/>
    <xf numFmtId="14" fontId="13" fillId="0" borderId="45" xfId="0" applyNumberFormat="1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/>
    <xf numFmtId="173" fontId="0" fillId="0" borderId="0" xfId="0" applyNumberFormat="1" applyFill="1" applyAlignment="1">
      <alignment vertical="center" wrapText="1"/>
    </xf>
    <xf numFmtId="165" fontId="13" fillId="0" borderId="67" xfId="0" applyNumberFormat="1" applyFont="1" applyFill="1" applyBorder="1" applyAlignment="1" applyProtection="1">
      <alignment horizontal="center" vertical="center" wrapText="1"/>
    </xf>
    <xf numFmtId="165" fontId="25" fillId="0" borderId="47" xfId="0" applyNumberFormat="1" applyFont="1" applyFill="1" applyBorder="1" applyAlignment="1" applyProtection="1">
      <alignment horizontal="center" vertical="center" wrapText="1"/>
    </xf>
    <xf numFmtId="3" fontId="19" fillId="2" borderId="47" xfId="13" applyNumberFormat="1" applyFont="1" applyFill="1" applyBorder="1" applyAlignment="1">
      <alignment horizontal="right" vertical="center"/>
    </xf>
    <xf numFmtId="165" fontId="10" fillId="0" borderId="47" xfId="0" applyNumberFormat="1" applyFont="1" applyFill="1" applyBorder="1" applyAlignment="1" applyProtection="1">
      <alignment vertical="center" wrapText="1"/>
      <protection locked="0"/>
    </xf>
    <xf numFmtId="165" fontId="13" fillId="2" borderId="47" xfId="0" applyNumberFormat="1" applyFont="1" applyFill="1" applyBorder="1" applyAlignment="1" applyProtection="1">
      <alignment vertical="center" wrapText="1"/>
      <protection locked="0"/>
    </xf>
    <xf numFmtId="165" fontId="28" fillId="2" borderId="63" xfId="0" applyNumberFormat="1" applyFont="1" applyFill="1" applyBorder="1" applyAlignment="1" applyProtection="1">
      <alignment vertical="center" wrapText="1"/>
    </xf>
    <xf numFmtId="165" fontId="10" fillId="0" borderId="9" xfId="0" applyNumberFormat="1" applyFont="1" applyFill="1" applyBorder="1" applyAlignment="1" applyProtection="1">
      <alignment vertical="center" wrapText="1"/>
    </xf>
    <xf numFmtId="0" fontId="43" fillId="0" borderId="88" xfId="11" applyFont="1" applyBorder="1"/>
    <xf numFmtId="0" fontId="45" fillId="0" borderId="88" xfId="11" applyFont="1" applyBorder="1"/>
    <xf numFmtId="49" fontId="19" fillId="8" borderId="39" xfId="13" applyNumberFormat="1" applyFont="1" applyFill="1" applyBorder="1" applyAlignment="1">
      <alignment horizontal="left" vertical="center"/>
    </xf>
    <xf numFmtId="49" fontId="19" fillId="8" borderId="37" xfId="13" applyNumberFormat="1" applyFont="1" applyFill="1" applyBorder="1" applyAlignment="1">
      <alignment horizontal="left" vertical="center"/>
    </xf>
    <xf numFmtId="165" fontId="0" fillId="9" borderId="37" xfId="0" applyNumberFormat="1" applyFill="1" applyBorder="1" applyAlignment="1">
      <alignment vertical="center" wrapText="1"/>
    </xf>
    <xf numFmtId="49" fontId="60" fillId="8" borderId="39" xfId="13" applyNumberFormat="1" applyFont="1" applyFill="1" applyBorder="1" applyAlignment="1">
      <alignment horizontal="left" vertical="center"/>
    </xf>
    <xf numFmtId="49" fontId="43" fillId="9" borderId="37" xfId="10" applyNumberFormat="1" applyFont="1" applyFill="1" applyBorder="1" applyAlignment="1">
      <alignment horizontal="left" vertical="center"/>
    </xf>
    <xf numFmtId="49" fontId="60" fillId="8" borderId="37" xfId="13" applyNumberFormat="1" applyFont="1" applyFill="1" applyBorder="1" applyAlignment="1">
      <alignment horizontal="left" vertical="center"/>
    </xf>
    <xf numFmtId="1" fontId="68" fillId="0" borderId="9" xfId="0" applyNumberFormat="1" applyFont="1" applyFill="1" applyBorder="1" applyAlignment="1" applyProtection="1">
      <alignment vertical="center" wrapText="1"/>
      <protection locked="0"/>
    </xf>
    <xf numFmtId="165" fontId="24" fillId="9" borderId="37" xfId="0" applyNumberFormat="1" applyFont="1" applyFill="1" applyBorder="1" applyAlignment="1">
      <alignment vertical="center" wrapText="1"/>
    </xf>
    <xf numFmtId="165" fontId="68" fillId="0" borderId="9" xfId="0" applyNumberFormat="1" applyFont="1" applyFill="1" applyBorder="1" applyAlignment="1" applyProtection="1">
      <alignment vertical="center" wrapText="1"/>
      <protection locked="0"/>
    </xf>
    <xf numFmtId="1" fontId="72" fillId="0" borderId="9" xfId="0" applyNumberFormat="1" applyFont="1" applyFill="1" applyBorder="1" applyAlignment="1" applyProtection="1">
      <alignment vertical="center" wrapText="1"/>
      <protection locked="0"/>
    </xf>
    <xf numFmtId="3" fontId="41" fillId="2" borderId="9" xfId="13" applyNumberFormat="1" applyFont="1" applyFill="1" applyBorder="1" applyAlignment="1">
      <alignment horizontal="right" vertical="center"/>
    </xf>
    <xf numFmtId="3" fontId="19" fillId="2" borderId="9" xfId="13" applyNumberFormat="1" applyFont="1" applyFill="1" applyBorder="1" applyAlignment="1">
      <alignment vertical="center"/>
    </xf>
    <xf numFmtId="3" fontId="55" fillId="0" borderId="9" xfId="11" applyNumberFormat="1" applyFont="1" applyBorder="1" applyAlignment="1">
      <alignment wrapText="1"/>
    </xf>
    <xf numFmtId="0" fontId="12" fillId="0" borderId="20" xfId="10" applyFont="1" applyFill="1" applyBorder="1" applyAlignment="1">
      <alignment vertical="center" wrapText="1"/>
    </xf>
    <xf numFmtId="3" fontId="45" fillId="9" borderId="9" xfId="10" applyNumberFormat="1" applyFont="1" applyFill="1" applyBorder="1"/>
    <xf numFmtId="3" fontId="45" fillId="10" borderId="47" xfId="10" applyNumberFormat="1" applyFont="1" applyFill="1" applyBorder="1" applyAlignment="1">
      <alignment horizontal="right" vertical="center"/>
    </xf>
    <xf numFmtId="49" fontId="45" fillId="10" borderId="37" xfId="10" applyNumberFormat="1" applyFont="1" applyFill="1" applyBorder="1" applyAlignment="1">
      <alignment horizontal="center" vertical="center"/>
    </xf>
    <xf numFmtId="49" fontId="45" fillId="10" borderId="47" xfId="10" applyNumberFormat="1" applyFont="1" applyFill="1" applyBorder="1" applyAlignment="1">
      <alignment horizontal="center" vertical="center"/>
    </xf>
    <xf numFmtId="0" fontId="45" fillId="10" borderId="9" xfId="10" applyFont="1" applyFill="1" applyBorder="1" applyAlignment="1">
      <alignment horizontal="left" vertical="center" wrapText="1"/>
    </xf>
    <xf numFmtId="3" fontId="45" fillId="10" borderId="9" xfId="10" applyNumberFormat="1" applyFont="1" applyFill="1" applyBorder="1" applyAlignment="1">
      <alignment horizontal="right" vertical="center" wrapText="1"/>
    </xf>
    <xf numFmtId="3" fontId="45" fillId="11" borderId="27" xfId="10" applyNumberFormat="1" applyFont="1" applyFill="1" applyBorder="1" applyAlignment="1">
      <alignment horizontal="right" vertical="center" wrapText="1"/>
    </xf>
    <xf numFmtId="3" fontId="45" fillId="9" borderId="48" xfId="10" applyNumberFormat="1" applyFont="1" applyFill="1" applyBorder="1"/>
    <xf numFmtId="3" fontId="31" fillId="9" borderId="9" xfId="10" applyNumberFormat="1" applyFont="1" applyFill="1" applyBorder="1"/>
    <xf numFmtId="3" fontId="45" fillId="9" borderId="27" xfId="10" applyNumberFormat="1" applyFont="1" applyFill="1" applyBorder="1"/>
    <xf numFmtId="0" fontId="30" fillId="9" borderId="33" xfId="10" applyFont="1" applyFill="1" applyBorder="1"/>
    <xf numFmtId="49" fontId="30" fillId="9" borderId="37" xfId="10" applyNumberFormat="1" applyFont="1" applyFill="1" applyBorder="1"/>
    <xf numFmtId="49" fontId="45" fillId="9" borderId="47" xfId="10" applyNumberFormat="1" applyFont="1" applyFill="1" applyBorder="1"/>
    <xf numFmtId="0" fontId="45" fillId="9" borderId="9" xfId="10" applyFont="1" applyFill="1" applyBorder="1"/>
    <xf numFmtId="0" fontId="7" fillId="9" borderId="0" xfId="10" applyFill="1"/>
    <xf numFmtId="3" fontId="7" fillId="9" borderId="0" xfId="10" applyNumberFormat="1" applyFill="1"/>
    <xf numFmtId="3" fontId="43" fillId="9" borderId="9" xfId="10" applyNumberFormat="1" applyFont="1" applyFill="1" applyBorder="1"/>
    <xf numFmtId="49" fontId="45" fillId="12" borderId="47" xfId="10" applyNumberFormat="1" applyFont="1" applyFill="1" applyBorder="1"/>
    <xf numFmtId="0" fontId="45" fillId="12" borderId="47" xfId="10" applyFont="1" applyFill="1" applyBorder="1"/>
    <xf numFmtId="3" fontId="45" fillId="12" borderId="20" xfId="10" applyNumberFormat="1" applyFont="1" applyFill="1" applyBorder="1"/>
    <xf numFmtId="0" fontId="45" fillId="9" borderId="9" xfId="10" applyFont="1" applyFill="1" applyBorder="1" applyAlignment="1">
      <alignment vertical="center" wrapText="1"/>
    </xf>
    <xf numFmtId="0" fontId="43" fillId="9" borderId="9" xfId="10" applyFont="1" applyFill="1" applyBorder="1" applyAlignment="1">
      <alignment horizontal="left" vertical="center" wrapText="1" indent="4"/>
    </xf>
    <xf numFmtId="3" fontId="45" fillId="9" borderId="9" xfId="10" applyNumberFormat="1" applyFont="1" applyFill="1" applyBorder="1" applyAlignment="1">
      <alignment horizontal="right" vertical="center" wrapText="1"/>
    </xf>
    <xf numFmtId="3" fontId="45" fillId="9" borderId="48" xfId="10" applyNumberFormat="1" applyFont="1" applyFill="1" applyBorder="1" applyAlignment="1">
      <alignment horizontal="right" vertical="center"/>
    </xf>
    <xf numFmtId="3" fontId="45" fillId="9" borderId="9" xfId="10" applyNumberFormat="1" applyFont="1" applyFill="1" applyBorder="1" applyAlignment="1">
      <alignment horizontal="right" vertical="center"/>
    </xf>
    <xf numFmtId="3" fontId="45" fillId="9" borderId="47" xfId="10" applyNumberFormat="1" applyFont="1" applyFill="1" applyBorder="1" applyAlignment="1">
      <alignment horizontal="right" vertical="center"/>
    </xf>
    <xf numFmtId="167" fontId="43" fillId="9" borderId="9" xfId="10" applyNumberFormat="1" applyFont="1" applyFill="1" applyBorder="1" applyAlignment="1">
      <alignment horizontal="left" vertical="center" wrapText="1" indent="4"/>
    </xf>
    <xf numFmtId="49" fontId="43" fillId="9" borderId="9" xfId="10" applyNumberFormat="1" applyFont="1" applyFill="1" applyBorder="1" applyAlignment="1">
      <alignment horizontal="left" vertical="center" wrapText="1" indent="4"/>
    </xf>
    <xf numFmtId="0" fontId="45" fillId="9" borderId="27" xfId="10" applyFont="1" applyFill="1" applyBorder="1" applyAlignment="1">
      <alignment horizontal="left" vertical="center" wrapText="1"/>
    </xf>
    <xf numFmtId="3" fontId="45" fillId="9" borderId="27" xfId="10" applyNumberFormat="1" applyFont="1" applyFill="1" applyBorder="1" applyAlignment="1">
      <alignment horizontal="right" vertical="center" wrapText="1"/>
    </xf>
    <xf numFmtId="3" fontId="45" fillId="9" borderId="52" xfId="10" applyNumberFormat="1" applyFont="1" applyFill="1" applyBorder="1" applyAlignment="1">
      <alignment horizontal="right" vertical="center" wrapText="1"/>
    </xf>
    <xf numFmtId="3" fontId="11" fillId="9" borderId="10" xfId="0" applyNumberFormat="1" applyFont="1" applyFill="1" applyBorder="1" applyAlignment="1" applyProtection="1">
      <alignment vertical="center" wrapText="1"/>
      <protection locked="0"/>
    </xf>
    <xf numFmtId="3" fontId="30" fillId="9" borderId="27" xfId="10" applyNumberFormat="1" applyFont="1" applyFill="1" applyBorder="1"/>
    <xf numFmtId="0" fontId="73" fillId="0" borderId="0" xfId="0" applyFont="1" applyFill="1" applyAlignment="1">
      <alignment vertical="center" wrapText="1"/>
    </xf>
    <xf numFmtId="165" fontId="73" fillId="0" borderId="0" xfId="0" applyNumberFormat="1" applyFont="1" applyFill="1" applyAlignment="1">
      <alignment vertical="center" wrapText="1"/>
    </xf>
    <xf numFmtId="0" fontId="45" fillId="12" borderId="27" xfId="10" applyFont="1" applyFill="1" applyBorder="1" applyAlignment="1">
      <alignment horizontal="left" vertical="center" wrapText="1"/>
    </xf>
    <xf numFmtId="3" fontId="45" fillId="12" borderId="27" xfId="10" applyNumberFormat="1" applyFont="1" applyFill="1" applyBorder="1" applyAlignment="1">
      <alignment horizontal="right" vertical="center" wrapText="1"/>
    </xf>
    <xf numFmtId="3" fontId="45" fillId="12" borderId="52" xfId="10" applyNumberFormat="1" applyFont="1" applyFill="1" applyBorder="1" applyAlignment="1">
      <alignment horizontal="right" vertical="center" wrapText="1"/>
    </xf>
    <xf numFmtId="0" fontId="45" fillId="12" borderId="9" xfId="10" applyFont="1" applyFill="1" applyBorder="1" applyAlignment="1">
      <alignment horizontal="left" vertical="center" wrapText="1"/>
    </xf>
    <xf numFmtId="3" fontId="45" fillId="12" borderId="9" xfId="10" applyNumberFormat="1" applyFont="1" applyFill="1" applyBorder="1" applyAlignment="1">
      <alignment horizontal="right" vertical="center" wrapText="1"/>
    </xf>
    <xf numFmtId="3" fontId="45" fillId="12" borderId="9" xfId="10" applyNumberFormat="1" applyFont="1" applyFill="1" applyBorder="1" applyAlignment="1">
      <alignment horizontal="right" vertical="center"/>
    </xf>
    <xf numFmtId="3" fontId="45" fillId="12" borderId="48" xfId="10" applyNumberFormat="1" applyFont="1" applyFill="1" applyBorder="1" applyAlignment="1">
      <alignment horizontal="right" vertical="center"/>
    </xf>
    <xf numFmtId="3" fontId="45" fillId="12" borderId="47" xfId="10" applyNumberFormat="1" applyFont="1" applyFill="1" applyBorder="1" applyAlignment="1">
      <alignment horizontal="right" vertical="center"/>
    </xf>
    <xf numFmtId="0" fontId="45" fillId="9" borderId="9" xfId="10" applyFont="1" applyFill="1" applyBorder="1" applyAlignment="1">
      <alignment horizontal="left" vertical="center" wrapText="1"/>
    </xf>
    <xf numFmtId="0" fontId="30" fillId="9" borderId="60" xfId="10" applyFont="1" applyFill="1" applyBorder="1" applyAlignment="1">
      <alignment horizontal="center" vertical="center"/>
    </xf>
    <xf numFmtId="49" fontId="45" fillId="9" borderId="47" xfId="10" applyNumberFormat="1" applyFont="1" applyFill="1" applyBorder="1" applyAlignment="1">
      <alignment horizontal="center" vertical="center"/>
    </xf>
    <xf numFmtId="0" fontId="13" fillId="0" borderId="45" xfId="21" applyFont="1" applyFill="1" applyBorder="1" applyAlignment="1" applyProtection="1">
      <alignment horizontal="center" vertical="center" wrapText="1"/>
    </xf>
    <xf numFmtId="0" fontId="45" fillId="0" borderId="9" xfId="10" applyFont="1" applyBorder="1" applyAlignment="1">
      <alignment wrapText="1"/>
    </xf>
    <xf numFmtId="49" fontId="45" fillId="9" borderId="37" xfId="10" applyNumberFormat="1" applyFont="1" applyFill="1" applyBorder="1" applyAlignment="1">
      <alignment horizontal="left" vertical="center"/>
    </xf>
    <xf numFmtId="49" fontId="13" fillId="0" borderId="13" xfId="0" applyNumberFormat="1" applyFont="1" applyFill="1" applyBorder="1" applyAlignment="1" applyProtection="1">
      <alignment horizontal="center" vertical="center" wrapText="1"/>
    </xf>
    <xf numFmtId="49" fontId="19" fillId="2" borderId="27" xfId="13" applyNumberFormat="1" applyFont="1" applyFill="1" applyBorder="1" applyAlignment="1">
      <alignment horizontal="left" vertical="center"/>
    </xf>
    <xf numFmtId="165" fontId="0" fillId="0" borderId="33" xfId="0" applyNumberFormat="1" applyFill="1" applyBorder="1" applyAlignment="1">
      <alignment vertical="center" wrapText="1"/>
    </xf>
    <xf numFmtId="0" fontId="55" fillId="0" borderId="88" xfId="11" applyFont="1" applyBorder="1" applyAlignment="1">
      <alignment horizontal="left" wrapText="1"/>
    </xf>
    <xf numFmtId="3" fontId="55" fillId="0" borderId="88" xfId="11" applyNumberFormat="1" applyFont="1" applyFill="1" applyBorder="1"/>
    <xf numFmtId="0" fontId="55" fillId="0" borderId="47" xfId="11" applyFont="1" applyBorder="1" applyAlignment="1">
      <alignment horizontal="left" wrapText="1"/>
    </xf>
    <xf numFmtId="0" fontId="55" fillId="0" borderId="88" xfId="11" applyFont="1" applyBorder="1" applyAlignment="1">
      <alignment wrapText="1"/>
    </xf>
    <xf numFmtId="49" fontId="45" fillId="0" borderId="9" xfId="10" applyNumberFormat="1" applyFont="1" applyFill="1" applyBorder="1" applyAlignment="1">
      <alignment horizontal="left" vertical="center"/>
    </xf>
    <xf numFmtId="0" fontId="55" fillId="0" borderId="20" xfId="11" applyFont="1" applyFill="1" applyBorder="1" applyAlignment="1">
      <alignment horizontal="left" wrapText="1"/>
    </xf>
    <xf numFmtId="0" fontId="55" fillId="0" borderId="9" xfId="11" applyFont="1" applyFill="1" applyBorder="1" applyAlignment="1">
      <alignment horizontal="left" wrapText="1"/>
    </xf>
    <xf numFmtId="3" fontId="55" fillId="0" borderId="9" xfId="11" applyNumberFormat="1" applyFont="1" applyFill="1" applyBorder="1" applyAlignment="1">
      <alignment horizontal="right" wrapText="1"/>
    </xf>
    <xf numFmtId="3" fontId="55" fillId="0" borderId="9" xfId="11" applyNumberFormat="1" applyFont="1" applyFill="1" applyBorder="1" applyAlignment="1">
      <alignment wrapText="1"/>
    </xf>
    <xf numFmtId="49" fontId="31" fillId="0" borderId="9" xfId="10" applyNumberFormat="1" applyFont="1" applyFill="1" applyBorder="1" applyAlignment="1">
      <alignment horizontal="left" vertical="center"/>
    </xf>
    <xf numFmtId="0" fontId="63" fillId="0" borderId="9" xfId="11" applyFont="1" applyFill="1" applyBorder="1" applyAlignment="1">
      <alignment horizontal="left" wrapText="1"/>
    </xf>
    <xf numFmtId="3" fontId="39" fillId="0" borderId="9" xfId="11" applyNumberFormat="1" applyFont="1" applyFill="1" applyBorder="1" applyAlignment="1">
      <alignment horizontal="right" wrapText="1"/>
    </xf>
    <xf numFmtId="3" fontId="39" fillId="0" borderId="9" xfId="11" applyNumberFormat="1" applyFont="1" applyFill="1" applyBorder="1" applyAlignment="1">
      <alignment wrapText="1"/>
    </xf>
    <xf numFmtId="0" fontId="43" fillId="0" borderId="88" xfId="11" applyFont="1" applyFill="1" applyBorder="1" applyAlignment="1">
      <alignment horizontal="left" vertical="center" wrapText="1"/>
    </xf>
    <xf numFmtId="0" fontId="45" fillId="0" borderId="88" xfId="11" applyFont="1" applyFill="1" applyBorder="1" applyAlignment="1">
      <alignment horizontal="left" vertical="center" wrapText="1"/>
    </xf>
    <xf numFmtId="165" fontId="13" fillId="2" borderId="27" xfId="0" applyNumberFormat="1" applyFont="1" applyFill="1" applyBorder="1" applyAlignment="1" applyProtection="1">
      <alignment vertical="center" wrapText="1"/>
      <protection locked="0"/>
    </xf>
    <xf numFmtId="49" fontId="19" fillId="2" borderId="27" xfId="13" applyNumberFormat="1" applyFont="1" applyFill="1" applyBorder="1" applyAlignment="1" applyProtection="1">
      <alignment horizontal="left" vertical="center"/>
      <protection locked="0"/>
    </xf>
    <xf numFmtId="1" fontId="10" fillId="0" borderId="47" xfId="0" applyNumberFormat="1" applyFont="1" applyFill="1" applyBorder="1" applyAlignment="1" applyProtection="1">
      <alignment vertical="center" wrapText="1"/>
      <protection locked="0"/>
    </xf>
    <xf numFmtId="0" fontId="55" fillId="0" borderId="88" xfId="11" applyFont="1" applyFill="1" applyBorder="1" applyAlignment="1">
      <alignment horizontal="left" wrapText="1"/>
    </xf>
    <xf numFmtId="0" fontId="55" fillId="0" borderId="88" xfId="11" applyFont="1" applyFill="1" applyBorder="1" applyAlignment="1">
      <alignment wrapText="1"/>
    </xf>
    <xf numFmtId="0" fontId="55" fillId="9" borderId="88" xfId="11" applyFont="1" applyFill="1" applyBorder="1" applyAlignment="1">
      <alignment wrapText="1"/>
    </xf>
    <xf numFmtId="3" fontId="55" fillId="9" borderId="88" xfId="11" applyNumberFormat="1" applyFont="1" applyFill="1" applyBorder="1"/>
    <xf numFmtId="1" fontId="10" fillId="9" borderId="47" xfId="0" applyNumberFormat="1" applyFont="1" applyFill="1" applyBorder="1" applyAlignment="1" applyProtection="1">
      <alignment vertical="center" wrapText="1"/>
      <protection locked="0"/>
    </xf>
    <xf numFmtId="0" fontId="55" fillId="0" borderId="20" xfId="11" applyFont="1" applyBorder="1" applyAlignment="1">
      <alignment wrapText="1"/>
    </xf>
    <xf numFmtId="165" fontId="10" fillId="0" borderId="20" xfId="0" applyNumberFormat="1" applyFont="1" applyFill="1" applyBorder="1" applyAlignment="1" applyProtection="1">
      <alignment vertical="center" wrapText="1"/>
      <protection locked="0"/>
    </xf>
    <xf numFmtId="0" fontId="55" fillId="0" borderId="20" xfId="11" applyFont="1" applyFill="1" applyBorder="1" applyAlignment="1">
      <alignment wrapText="1"/>
    </xf>
    <xf numFmtId="3" fontId="43" fillId="0" borderId="88" xfId="11" applyNumberFormat="1" applyFont="1" applyFill="1" applyBorder="1"/>
    <xf numFmtId="3" fontId="19" fillId="2" borderId="27" xfId="13" applyNumberFormat="1" applyFont="1" applyFill="1" applyBorder="1" applyAlignment="1">
      <alignment horizontal="right" vertical="center"/>
    </xf>
    <xf numFmtId="0" fontId="55" fillId="0" borderId="93" xfId="11" applyFont="1" applyBorder="1" applyAlignment="1">
      <alignment wrapText="1"/>
    </xf>
    <xf numFmtId="165" fontId="10" fillId="0" borderId="51" xfId="0" applyNumberFormat="1" applyFont="1" applyFill="1" applyBorder="1" applyAlignment="1" applyProtection="1">
      <alignment vertical="center" wrapText="1"/>
      <protection locked="0"/>
    </xf>
    <xf numFmtId="165" fontId="28" fillId="2" borderId="27" xfId="0" applyNumberFormat="1" applyFont="1" applyFill="1" applyBorder="1" applyAlignment="1" applyProtection="1">
      <alignment horizontal="right" vertical="center" wrapText="1"/>
    </xf>
    <xf numFmtId="0" fontId="55" fillId="0" borderId="47" xfId="11" applyFont="1" applyBorder="1" applyAlignment="1">
      <alignment horizontal="center" wrapText="1"/>
    </xf>
    <xf numFmtId="3" fontId="37" fillId="7" borderId="101" xfId="20" applyNumberFormat="1" applyFont="1" applyFill="1" applyBorder="1" applyAlignment="1">
      <alignment horizontal="center" vertical="center" wrapText="1"/>
    </xf>
    <xf numFmtId="170" fontId="37" fillId="7" borderId="102" xfId="20" applyNumberFormat="1" applyFont="1" applyFill="1" applyBorder="1" applyAlignment="1">
      <alignment horizontal="center" vertical="center" wrapText="1"/>
    </xf>
    <xf numFmtId="3" fontId="12" fillId="7" borderId="103" xfId="20" applyNumberFormat="1" applyFont="1" applyFill="1" applyBorder="1" applyAlignment="1">
      <alignment horizontal="center" vertical="center" wrapText="1"/>
    </xf>
    <xf numFmtId="0" fontId="74" fillId="0" borderId="94" xfId="20" applyFont="1" applyBorder="1" applyAlignment="1">
      <alignment horizontal="center" vertical="center" wrapText="1"/>
    </xf>
    <xf numFmtId="0" fontId="69" fillId="0" borderId="95" xfId="20" applyFont="1" applyBorder="1" applyAlignment="1">
      <alignment horizontal="center" vertical="center" wrapText="1"/>
    </xf>
    <xf numFmtId="0" fontId="13" fillId="0" borderId="105" xfId="20" applyFont="1" applyBorder="1" applyAlignment="1">
      <alignment horizontal="center" vertical="center"/>
    </xf>
    <xf numFmtId="0" fontId="13" fillId="0" borderId="106" xfId="20" applyFont="1" applyBorder="1" applyAlignment="1">
      <alignment horizontal="center" vertical="center"/>
    </xf>
    <xf numFmtId="0" fontId="13" fillId="0" borderId="107" xfId="20" applyFont="1" applyBorder="1" applyAlignment="1">
      <alignment vertical="center" wrapText="1"/>
    </xf>
    <xf numFmtId="3" fontId="75" fillId="0" borderId="108" xfId="20" applyNumberFormat="1" applyFont="1" applyBorder="1" applyAlignment="1"/>
    <xf numFmtId="3" fontId="75" fillId="0" borderId="109" xfId="20" applyNumberFormat="1" applyFont="1" applyBorder="1" applyAlignment="1"/>
    <xf numFmtId="3" fontId="76" fillId="0" borderId="110" xfId="20" applyNumberFormat="1" applyFont="1" applyBorder="1"/>
    <xf numFmtId="0" fontId="13" fillId="0" borderId="111" xfId="20" applyFont="1" applyBorder="1" applyAlignment="1">
      <alignment horizontal="center" vertical="center"/>
    </xf>
    <xf numFmtId="0" fontId="69" fillId="0" borderId="112" xfId="20" applyFont="1" applyBorder="1" applyAlignment="1">
      <alignment horizontal="center" vertical="center"/>
    </xf>
    <xf numFmtId="0" fontId="37" fillId="0" borderId="113" xfId="20" applyFont="1" applyBorder="1" applyAlignment="1">
      <alignment vertical="center" wrapText="1"/>
    </xf>
    <xf numFmtId="3" fontId="69" fillId="0" borderId="114" xfId="20" applyNumberFormat="1" applyFont="1" applyBorder="1" applyAlignment="1"/>
    <xf numFmtId="4" fontId="69" fillId="0" borderId="115" xfId="20" applyNumberFormat="1" applyFont="1" applyBorder="1" applyAlignment="1"/>
    <xf numFmtId="3" fontId="37" fillId="0" borderId="116" xfId="20" applyNumberFormat="1" applyFont="1" applyBorder="1"/>
    <xf numFmtId="0" fontId="69" fillId="0" borderId="111" xfId="20" applyFont="1" applyBorder="1" applyAlignment="1">
      <alignment horizontal="center" vertical="center"/>
    </xf>
    <xf numFmtId="0" fontId="69" fillId="0" borderId="117" xfId="20" applyFont="1" applyBorder="1" applyAlignment="1">
      <alignment horizontal="center" vertical="center"/>
    </xf>
    <xf numFmtId="0" fontId="69" fillId="0" borderId="118" xfId="20" applyFont="1" applyBorder="1" applyAlignment="1">
      <alignment horizontal="left" vertical="center" wrapText="1"/>
    </xf>
    <xf numFmtId="3" fontId="69" fillId="0" borderId="115" xfId="20" applyNumberFormat="1" applyFont="1" applyBorder="1" applyAlignment="1"/>
    <xf numFmtId="0" fontId="37" fillId="0" borderId="118" xfId="20" applyFont="1" applyBorder="1" applyAlignment="1">
      <alignment horizontal="left" vertical="center" wrapText="1" indent="3"/>
    </xf>
    <xf numFmtId="3" fontId="37" fillId="0" borderId="88" xfId="20" applyNumberFormat="1" applyFont="1" applyBorder="1" applyAlignment="1"/>
    <xf numFmtId="174" fontId="37" fillId="0" borderId="88" xfId="20" applyNumberFormat="1" applyFont="1" applyBorder="1"/>
    <xf numFmtId="0" fontId="37" fillId="0" borderId="119" xfId="20" applyFont="1" applyBorder="1" applyAlignment="1">
      <alignment horizontal="center" vertical="center"/>
    </xf>
    <xf numFmtId="171" fontId="37" fillId="0" borderId="88" xfId="20" applyNumberFormat="1" applyFont="1" applyBorder="1"/>
    <xf numFmtId="0" fontId="69" fillId="0" borderId="119" xfId="20" applyFont="1" applyBorder="1" applyAlignment="1">
      <alignment horizontal="center" vertical="center"/>
    </xf>
    <xf numFmtId="0" fontId="69" fillId="0" borderId="118" xfId="20" applyFont="1" applyBorder="1" applyAlignment="1">
      <alignment vertical="center" wrapText="1"/>
    </xf>
    <xf numFmtId="3" fontId="37" fillId="0" borderId="114" xfId="20" applyNumberFormat="1" applyFont="1" applyBorder="1" applyAlignment="1"/>
    <xf numFmtId="0" fontId="37" fillId="0" borderId="118" xfId="20" applyFont="1" applyBorder="1" applyAlignment="1">
      <alignment vertical="center" wrapText="1"/>
    </xf>
    <xf numFmtId="0" fontId="74" fillId="0" borderId="120" xfId="20" applyFont="1" applyBorder="1" applyAlignment="1">
      <alignment horizontal="center" vertical="center" wrapText="1"/>
    </xf>
    <xf numFmtId="0" fontId="37" fillId="0" borderId="121" xfId="20" applyFont="1" applyBorder="1" applyAlignment="1">
      <alignment horizontal="center" vertical="center"/>
    </xf>
    <xf numFmtId="0" fontId="25" fillId="0" borderId="106" xfId="20" applyFont="1" applyBorder="1" applyAlignment="1">
      <alignment vertical="center" wrapText="1"/>
    </xf>
    <xf numFmtId="0" fontId="25" fillId="0" borderId="122" xfId="20" applyFont="1" applyBorder="1" applyAlignment="1">
      <alignment vertical="center" wrapText="1"/>
    </xf>
    <xf numFmtId="3" fontId="25" fillId="0" borderId="123" xfId="20" applyNumberFormat="1" applyFont="1" applyBorder="1" applyAlignment="1">
      <alignment vertical="center" wrapText="1"/>
    </xf>
    <xf numFmtId="0" fontId="74" fillId="0" borderId="111" xfId="20" applyFont="1" applyBorder="1" applyAlignment="1">
      <alignment horizontal="center" vertical="center"/>
    </xf>
    <xf numFmtId="0" fontId="77" fillId="0" borderId="119" xfId="20" applyFont="1" applyBorder="1" applyAlignment="1">
      <alignment horizontal="center" vertical="center"/>
    </xf>
    <xf numFmtId="0" fontId="77" fillId="0" borderId="118" xfId="20" applyFont="1" applyBorder="1" applyAlignment="1">
      <alignment vertical="center" wrapText="1"/>
    </xf>
    <xf numFmtId="3" fontId="77" fillId="0" borderId="114" xfId="20" applyNumberFormat="1" applyFont="1" applyBorder="1" applyAlignment="1"/>
    <xf numFmtId="174" fontId="37" fillId="0" borderId="114" xfId="20" applyNumberFormat="1" applyFont="1" applyBorder="1"/>
    <xf numFmtId="0" fontId="78" fillId="0" borderId="118" xfId="20" applyFont="1" applyBorder="1" applyAlignment="1">
      <alignment horizontal="left" vertical="center" wrapText="1" indent="2"/>
    </xf>
    <xf numFmtId="3" fontId="78" fillId="0" borderId="114" xfId="20" applyNumberFormat="1" applyFont="1" applyBorder="1" applyAlignment="1"/>
    <xf numFmtId="174" fontId="78" fillId="0" borderId="114" xfId="20" applyNumberFormat="1" applyFont="1" applyBorder="1"/>
    <xf numFmtId="3" fontId="78" fillId="0" borderId="116" xfId="20" applyNumberFormat="1" applyFont="1" applyBorder="1"/>
    <xf numFmtId="171" fontId="77" fillId="0" borderId="114" xfId="20" applyNumberFormat="1" applyFont="1" applyBorder="1"/>
    <xf numFmtId="3" fontId="77" fillId="0" borderId="116" xfId="20" applyNumberFormat="1" applyFont="1" applyBorder="1"/>
    <xf numFmtId="171" fontId="37" fillId="0" borderId="114" xfId="20" applyNumberFormat="1" applyFont="1" applyBorder="1"/>
    <xf numFmtId="0" fontId="74" fillId="0" borderId="118" xfId="20" applyFont="1" applyBorder="1" applyAlignment="1">
      <alignment vertical="center" wrapText="1"/>
    </xf>
    <xf numFmtId="3" fontId="74" fillId="0" borderId="116" xfId="20" applyNumberFormat="1" applyFont="1" applyBorder="1"/>
    <xf numFmtId="0" fontId="79" fillId="0" borderId="119" xfId="20" applyFont="1" applyBorder="1" applyAlignment="1">
      <alignment horizontal="center" vertical="center"/>
    </xf>
    <xf numFmtId="0" fontId="79" fillId="0" borderId="118" xfId="20" applyFont="1" applyBorder="1" applyAlignment="1">
      <alignment vertical="center" wrapText="1"/>
    </xf>
    <xf numFmtId="0" fontId="70" fillId="0" borderId="113" xfId="20" applyFont="1" applyBorder="1" applyAlignment="1">
      <alignment vertical="center" wrapText="1"/>
    </xf>
    <xf numFmtId="3" fontId="37" fillId="0" borderId="115" xfId="20" applyNumberFormat="1" applyFont="1" applyBorder="1" applyAlignment="1"/>
    <xf numFmtId="3" fontId="70" fillId="0" borderId="116" xfId="20" applyNumberFormat="1" applyFont="1" applyBorder="1"/>
    <xf numFmtId="3" fontId="25" fillId="0" borderId="116" xfId="20" applyNumberFormat="1" applyFont="1" applyBorder="1"/>
    <xf numFmtId="171" fontId="69" fillId="0" borderId="114" xfId="20" applyNumberFormat="1" applyFont="1" applyBorder="1"/>
    <xf numFmtId="0" fontId="25" fillId="7" borderId="96" xfId="20" applyFont="1" applyFill="1" applyBorder="1" applyAlignment="1">
      <alignment horizontal="center" vertical="center"/>
    </xf>
    <xf numFmtId="0" fontId="25" fillId="7" borderId="97" xfId="20" applyFont="1" applyFill="1" applyBorder="1" applyAlignment="1">
      <alignment horizontal="center" vertical="center"/>
    </xf>
    <xf numFmtId="0" fontId="25" fillId="7" borderId="100" xfId="20" applyFont="1" applyFill="1" applyBorder="1" applyAlignment="1">
      <alignment horizontal="center" vertical="center"/>
    </xf>
    <xf numFmtId="175" fontId="9" fillId="0" borderId="0" xfId="20" applyNumberFormat="1"/>
    <xf numFmtId="0" fontId="3" fillId="0" borderId="96" xfId="23" applyBorder="1" applyAlignment="1">
      <alignment vertical="center"/>
    </xf>
    <xf numFmtId="0" fontId="84" fillId="0" borderId="97" xfId="23" applyFont="1" applyFill="1" applyBorder="1" applyAlignment="1">
      <alignment horizontal="center" vertical="center"/>
    </xf>
    <xf numFmtId="0" fontId="84" fillId="0" borderId="124" xfId="23" applyFont="1" applyFill="1" applyBorder="1" applyAlignment="1">
      <alignment horizontal="center" vertical="center" wrapText="1"/>
    </xf>
    <xf numFmtId="0" fontId="3" fillId="0" borderId="0" xfId="23" applyAlignment="1">
      <alignment vertical="center"/>
    </xf>
    <xf numFmtId="0" fontId="85" fillId="13" borderId="124" xfId="23" applyFont="1" applyFill="1" applyBorder="1" applyAlignment="1">
      <alignment horizontal="center" vertical="center" wrapText="1"/>
    </xf>
    <xf numFmtId="0" fontId="86" fillId="13" borderId="97" xfId="23" applyFont="1" applyFill="1" applyBorder="1" applyAlignment="1">
      <alignment horizontal="center" vertical="center"/>
    </xf>
    <xf numFmtId="0" fontId="85" fillId="13" borderId="124" xfId="23" applyFont="1" applyFill="1" applyBorder="1" applyAlignment="1">
      <alignment horizontal="right" vertical="center" wrapText="1"/>
    </xf>
    <xf numFmtId="0" fontId="87" fillId="0" borderId="0" xfId="23" applyFont="1" applyAlignment="1">
      <alignment vertical="center"/>
    </xf>
    <xf numFmtId="0" fontId="85" fillId="14" borderId="124" xfId="23" applyFont="1" applyFill="1" applyBorder="1" applyAlignment="1">
      <alignment horizontal="center" vertical="center" wrapText="1"/>
    </xf>
    <xf numFmtId="0" fontId="85" fillId="14" borderId="98" xfId="23" applyFont="1" applyFill="1" applyBorder="1" applyAlignment="1">
      <alignment horizontal="right" vertical="center"/>
    </xf>
    <xf numFmtId="0" fontId="85" fillId="0" borderId="125" xfId="23" applyFont="1" applyBorder="1" applyAlignment="1">
      <alignment horizontal="center" vertical="center" wrapText="1"/>
    </xf>
    <xf numFmtId="0" fontId="85" fillId="0" borderId="126" xfId="23" applyFont="1" applyBorder="1" applyAlignment="1">
      <alignment horizontal="left" vertical="center" wrapText="1"/>
    </xf>
    <xf numFmtId="3" fontId="87" fillId="0" borderId="127" xfId="23" applyNumberFormat="1" applyFont="1" applyBorder="1" applyAlignment="1">
      <alignment horizontal="right" vertical="center"/>
    </xf>
    <xf numFmtId="3" fontId="87" fillId="0" borderId="125" xfId="23" applyNumberFormat="1" applyFont="1" applyBorder="1" applyAlignment="1">
      <alignment horizontal="right" vertical="center"/>
    </xf>
    <xf numFmtId="0" fontId="85" fillId="0" borderId="128" xfId="23" applyFont="1" applyBorder="1" applyAlignment="1">
      <alignment horizontal="center" vertical="center" wrapText="1"/>
    </xf>
    <xf numFmtId="0" fontId="85" fillId="0" borderId="129" xfId="23" applyFont="1" applyBorder="1" applyAlignment="1">
      <alignment horizontal="left" vertical="center" wrapText="1"/>
    </xf>
    <xf numFmtId="0" fontId="85" fillId="0" borderId="127" xfId="23" applyFont="1" applyBorder="1" applyAlignment="1">
      <alignment horizontal="center" vertical="center" wrapText="1"/>
    </xf>
    <xf numFmtId="0" fontId="85" fillId="0" borderId="106" xfId="23" applyFont="1" applyBorder="1" applyAlignment="1">
      <alignment horizontal="left" vertical="center"/>
    </xf>
    <xf numFmtId="0" fontId="85" fillId="0" borderId="130" xfId="23" applyFont="1" applyBorder="1" applyAlignment="1">
      <alignment horizontal="center" vertical="center" wrapText="1"/>
    </xf>
    <xf numFmtId="0" fontId="87" fillId="0" borderId="131" xfId="23" applyFont="1" applyBorder="1" applyAlignment="1">
      <alignment horizontal="left" vertical="center"/>
    </xf>
    <xf numFmtId="3" fontId="85" fillId="0" borderId="130" xfId="23" applyNumberFormat="1" applyFont="1" applyBorder="1" applyAlignment="1">
      <alignment horizontal="right" vertical="center"/>
    </xf>
    <xf numFmtId="0" fontId="87" fillId="0" borderId="131" xfId="23" applyFont="1" applyBorder="1" applyAlignment="1">
      <alignment horizontal="left" vertical="center" wrapText="1"/>
    </xf>
    <xf numFmtId="0" fontId="85" fillId="0" borderId="130" xfId="23" applyFont="1" applyBorder="1" applyAlignment="1">
      <alignment horizontal="center" vertical="center"/>
    </xf>
    <xf numFmtId="0" fontId="85" fillId="0" borderId="131" xfId="23" applyFont="1" applyBorder="1" applyAlignment="1">
      <alignment vertical="center"/>
    </xf>
    <xf numFmtId="0" fontId="87" fillId="0" borderId="131" xfId="23" applyFont="1" applyBorder="1" applyAlignment="1">
      <alignment vertical="center"/>
    </xf>
    <xf numFmtId="3" fontId="87" fillId="0" borderId="130" xfId="23" applyNumberFormat="1" applyFont="1" applyBorder="1" applyAlignment="1">
      <alignment horizontal="right" vertical="center"/>
    </xf>
    <xf numFmtId="0" fontId="87" fillId="0" borderId="130" xfId="23" applyFont="1" applyBorder="1" applyAlignment="1">
      <alignment horizontal="center" vertical="center"/>
    </xf>
    <xf numFmtId="0" fontId="85" fillId="0" borderId="132" xfId="23" applyFont="1" applyBorder="1" applyAlignment="1">
      <alignment horizontal="center" vertical="center"/>
    </xf>
    <xf numFmtId="0" fontId="85" fillId="0" borderId="133" xfId="23" applyFont="1" applyFill="1" applyBorder="1" applyAlignment="1">
      <alignment horizontal="left" vertical="center" wrapText="1"/>
    </xf>
    <xf numFmtId="3" fontId="87" fillId="0" borderId="132" xfId="23" applyNumberFormat="1" applyFont="1" applyBorder="1" applyAlignment="1">
      <alignment horizontal="right" vertical="center"/>
    </xf>
    <xf numFmtId="0" fontId="85" fillId="14" borderId="124" xfId="23" applyFont="1" applyFill="1" applyBorder="1" applyAlignment="1">
      <alignment horizontal="center" vertical="center"/>
    </xf>
    <xf numFmtId="0" fontId="85" fillId="0" borderId="125" xfId="23" applyFont="1" applyBorder="1" applyAlignment="1">
      <alignment horizontal="center" vertical="center"/>
    </xf>
    <xf numFmtId="0" fontId="85" fillId="0" borderId="126" xfId="23" applyFont="1" applyBorder="1" applyAlignment="1">
      <alignment horizontal="left" vertical="center"/>
    </xf>
    <xf numFmtId="3" fontId="3" fillId="0" borderId="130" xfId="23" applyNumberFormat="1" applyBorder="1" applyAlignment="1">
      <alignment horizontal="right" vertical="center"/>
    </xf>
    <xf numFmtId="0" fontId="85" fillId="0" borderId="131" xfId="23" applyFont="1" applyFill="1" applyBorder="1" applyAlignment="1">
      <alignment horizontal="left" vertical="center" wrapText="1"/>
    </xf>
    <xf numFmtId="0" fontId="87" fillId="0" borderId="126" xfId="23" applyFont="1" applyBorder="1" applyAlignment="1">
      <alignment horizontal="left" vertical="center" wrapText="1"/>
    </xf>
    <xf numFmtId="0" fontId="87" fillId="0" borderId="131" xfId="23" applyFont="1" applyFill="1" applyBorder="1" applyAlignment="1">
      <alignment horizontal="left" vertical="center" wrapText="1"/>
    </xf>
    <xf numFmtId="0" fontId="85" fillId="0" borderId="132" xfId="23" applyFont="1" applyBorder="1" applyAlignment="1">
      <alignment horizontal="center" vertical="center" wrapText="1"/>
    </xf>
    <xf numFmtId="0" fontId="87" fillId="0" borderId="133" xfId="23" applyFont="1" applyFill="1" applyBorder="1" applyAlignment="1">
      <alignment horizontal="left" vertical="center" wrapText="1"/>
    </xf>
    <xf numFmtId="0" fontId="83" fillId="0" borderId="124" xfId="23" applyFont="1" applyBorder="1" applyAlignment="1">
      <alignment vertical="center"/>
    </xf>
    <xf numFmtId="0" fontId="89" fillId="0" borderId="96" xfId="23" applyFont="1" applyBorder="1" applyAlignment="1">
      <alignment vertical="center"/>
    </xf>
    <xf numFmtId="0" fontId="85" fillId="14" borderId="105" xfId="23" applyFont="1" applyFill="1" applyBorder="1" applyAlignment="1">
      <alignment horizontal="center" vertical="center" wrapText="1"/>
    </xf>
    <xf numFmtId="0" fontId="85" fillId="15" borderId="97" xfId="23" applyFont="1" applyFill="1" applyBorder="1" applyAlignment="1">
      <alignment horizontal="right" vertical="center" wrapText="1"/>
    </xf>
    <xf numFmtId="0" fontId="85" fillId="15" borderId="98" xfId="23" applyFont="1" applyFill="1" applyBorder="1" applyAlignment="1">
      <alignment horizontal="right" vertical="center" wrapText="1"/>
    </xf>
    <xf numFmtId="3" fontId="87" fillId="0" borderId="134" xfId="23" applyNumberFormat="1" applyFont="1" applyBorder="1" applyAlignment="1">
      <alignment horizontal="right" vertical="center" wrapText="1"/>
    </xf>
    <xf numFmtId="3" fontId="87" fillId="0" borderId="135" xfId="23" applyNumberFormat="1" applyFont="1" applyBorder="1" applyAlignment="1">
      <alignment horizontal="right" vertical="center" wrapText="1"/>
    </xf>
    <xf numFmtId="0" fontId="85" fillId="0" borderId="131" xfId="23" applyFont="1" applyBorder="1" applyAlignment="1">
      <alignment horizontal="left" vertical="center" wrapText="1"/>
    </xf>
    <xf numFmtId="3" fontId="87" fillId="0" borderId="136" xfId="23" applyNumberFormat="1" applyFont="1" applyBorder="1" applyAlignment="1">
      <alignment horizontal="right" vertical="center" wrapText="1"/>
    </xf>
    <xf numFmtId="3" fontId="87" fillId="0" borderId="137" xfId="23" applyNumberFormat="1" applyFont="1" applyBorder="1" applyAlignment="1">
      <alignment horizontal="right" vertical="center" wrapText="1"/>
    </xf>
    <xf numFmtId="3" fontId="87" fillId="0" borderId="136" xfId="23" applyNumberFormat="1" applyFont="1" applyBorder="1" applyAlignment="1">
      <alignment horizontal="right" vertical="center"/>
    </xf>
    <xf numFmtId="3" fontId="87" fillId="0" borderId="137" xfId="23" applyNumberFormat="1" applyFont="1" applyBorder="1" applyAlignment="1">
      <alignment horizontal="right" vertical="center"/>
    </xf>
    <xf numFmtId="3" fontId="87" fillId="0" borderId="134" xfId="23" applyNumberFormat="1" applyFont="1" applyBorder="1" applyAlignment="1">
      <alignment horizontal="right" vertical="center"/>
    </xf>
    <xf numFmtId="3" fontId="88" fillId="0" borderId="137" xfId="23" applyNumberFormat="1" applyFont="1" applyBorder="1" applyAlignment="1">
      <alignment horizontal="right" vertical="center" wrapText="1"/>
    </xf>
    <xf numFmtId="0" fontId="87" fillId="0" borderId="130" xfId="23" applyFont="1" applyBorder="1" applyAlignment="1">
      <alignment vertical="center"/>
    </xf>
    <xf numFmtId="0" fontId="87" fillId="0" borderId="136" xfId="23" applyFont="1" applyBorder="1" applyAlignment="1">
      <alignment horizontal="right" vertical="center"/>
    </xf>
    <xf numFmtId="0" fontId="87" fillId="0" borderId="137" xfId="23" applyFont="1" applyBorder="1" applyAlignment="1">
      <alignment horizontal="right" vertical="center"/>
    </xf>
    <xf numFmtId="0" fontId="87" fillId="0" borderId="132" xfId="23" applyFont="1" applyBorder="1" applyAlignment="1">
      <alignment vertical="center"/>
    </xf>
    <xf numFmtId="0" fontId="87" fillId="0" borderId="133" xfId="23" applyFont="1" applyBorder="1" applyAlignment="1">
      <alignment vertical="center"/>
    </xf>
    <xf numFmtId="0" fontId="88" fillId="14" borderId="124" xfId="23" applyFont="1" applyFill="1" applyBorder="1" applyAlignment="1">
      <alignment horizontal="center" vertical="center"/>
    </xf>
    <xf numFmtId="0" fontId="87" fillId="0" borderId="107" xfId="23" applyFont="1" applyBorder="1" applyAlignment="1">
      <alignment vertical="center"/>
    </xf>
    <xf numFmtId="3" fontId="87" fillId="0" borderId="108" xfId="23" applyNumberFormat="1" applyFont="1" applyBorder="1" applyAlignment="1">
      <alignment horizontal="right" vertical="center"/>
    </xf>
    <xf numFmtId="3" fontId="87" fillId="0" borderId="108" xfId="23" applyNumberFormat="1" applyFont="1" applyBorder="1" applyAlignment="1">
      <alignment horizontal="right" vertical="center" wrapText="1"/>
    </xf>
    <xf numFmtId="0" fontId="3" fillId="0" borderId="130" xfId="23" applyBorder="1" applyAlignment="1">
      <alignment vertical="center"/>
    </xf>
    <xf numFmtId="0" fontId="3" fillId="0" borderId="131" xfId="23" applyBorder="1" applyAlignment="1">
      <alignment vertical="center"/>
    </xf>
    <xf numFmtId="0" fontId="3" fillId="0" borderId="136" xfId="23" applyBorder="1" applyAlignment="1">
      <alignment horizontal="right" vertical="center"/>
    </xf>
    <xf numFmtId="0" fontId="3" fillId="0" borderId="137" xfId="23" applyBorder="1" applyAlignment="1">
      <alignment horizontal="right" vertical="center"/>
    </xf>
    <xf numFmtId="0" fontId="3" fillId="0" borderId="132" xfId="23" applyBorder="1" applyAlignment="1">
      <alignment vertical="center"/>
    </xf>
    <xf numFmtId="0" fontId="3" fillId="0" borderId="133" xfId="23" applyBorder="1" applyAlignment="1">
      <alignment vertical="center"/>
    </xf>
    <xf numFmtId="0" fontId="3" fillId="0" borderId="138" xfId="23" applyBorder="1" applyAlignment="1">
      <alignment horizontal="right" vertical="center"/>
    </xf>
    <xf numFmtId="0" fontId="3" fillId="0" borderId="139" xfId="23" applyBorder="1" applyAlignment="1">
      <alignment horizontal="right" vertical="center"/>
    </xf>
    <xf numFmtId="0" fontId="90" fillId="0" borderId="0" xfId="23" applyFont="1" applyAlignment="1">
      <alignment vertical="center"/>
    </xf>
    <xf numFmtId="0" fontId="87" fillId="0" borderId="107" xfId="23" applyFont="1" applyBorder="1" applyAlignment="1">
      <alignment horizontal="left" vertical="center" wrapText="1"/>
    </xf>
    <xf numFmtId="3" fontId="87" fillId="0" borderId="110" xfId="23" applyNumberFormat="1" applyFont="1" applyBorder="1" applyAlignment="1">
      <alignment horizontal="right" vertical="center"/>
    </xf>
    <xf numFmtId="3" fontId="87" fillId="0" borderId="140" xfId="23" applyNumberFormat="1" applyFont="1" applyBorder="1" applyAlignment="1">
      <alignment horizontal="right" vertical="center"/>
    </xf>
    <xf numFmtId="3" fontId="87" fillId="0" borderId="141" xfId="23" applyNumberFormat="1" applyFont="1" applyBorder="1" applyAlignment="1">
      <alignment horizontal="right" vertical="center"/>
    </xf>
    <xf numFmtId="3" fontId="87" fillId="0" borderId="138" xfId="23" applyNumberFormat="1" applyFont="1" applyBorder="1" applyAlignment="1">
      <alignment horizontal="right" vertical="center"/>
    </xf>
    <xf numFmtId="3" fontId="87" fillId="0" borderId="139" xfId="23" applyNumberFormat="1" applyFont="1" applyBorder="1" applyAlignment="1">
      <alignment horizontal="right" vertical="center"/>
    </xf>
    <xf numFmtId="0" fontId="3" fillId="0" borderId="0" xfId="23" applyAlignment="1">
      <alignment horizontal="right" vertical="center"/>
    </xf>
    <xf numFmtId="165" fontId="16" fillId="0" borderId="0" xfId="24" applyNumberFormat="1" applyFont="1" applyFill="1" applyAlignment="1">
      <alignment horizontal="center" vertical="center" wrapText="1"/>
    </xf>
    <xf numFmtId="165" fontId="16" fillId="0" borderId="0" xfId="24" applyNumberFormat="1" applyFont="1" applyFill="1" applyAlignment="1">
      <alignment vertical="center" wrapText="1"/>
    </xf>
    <xf numFmtId="165" fontId="74" fillId="0" borderId="0" xfId="24" applyNumberFormat="1" applyFont="1" applyFill="1" applyAlignment="1">
      <alignment horizontal="right" vertical="center"/>
    </xf>
    <xf numFmtId="165" fontId="28" fillId="0" borderId="107" xfId="24" applyNumberFormat="1" applyFont="1" applyFill="1" applyBorder="1" applyAlignment="1">
      <alignment horizontal="centerContinuous" vertical="center" wrapText="1"/>
    </xf>
    <xf numFmtId="165" fontId="28" fillId="0" borderId="106" xfId="24" applyNumberFormat="1" applyFont="1" applyFill="1" applyBorder="1" applyAlignment="1">
      <alignment horizontal="centerContinuous" vertical="center"/>
    </xf>
    <xf numFmtId="165" fontId="28" fillId="0" borderId="123" xfId="24" applyNumberFormat="1" applyFont="1" applyFill="1" applyBorder="1" applyAlignment="1">
      <alignment horizontal="centerContinuous" vertical="center"/>
    </xf>
    <xf numFmtId="165" fontId="28" fillId="0" borderId="0" xfId="24" applyNumberFormat="1" applyFont="1" applyFill="1" applyAlignment="1">
      <alignment vertical="center"/>
    </xf>
    <xf numFmtId="165" fontId="28" fillId="0" borderId="143" xfId="24" applyNumberFormat="1" applyFont="1" applyFill="1" applyBorder="1" applyAlignment="1">
      <alignment horizontal="center" vertical="center"/>
    </xf>
    <xf numFmtId="165" fontId="28" fillId="0" borderId="139" xfId="24" applyNumberFormat="1" applyFont="1" applyFill="1" applyBorder="1" applyAlignment="1">
      <alignment horizontal="center" vertical="center" wrapText="1"/>
    </xf>
    <xf numFmtId="165" fontId="28" fillId="0" borderId="0" xfId="24" applyNumberFormat="1" applyFont="1" applyFill="1" applyAlignment="1">
      <alignment horizontal="center" vertical="center"/>
    </xf>
    <xf numFmtId="165" fontId="67" fillId="0" borderId="96" xfId="24" applyNumberFormat="1" applyFont="1" applyFill="1" applyBorder="1" applyAlignment="1">
      <alignment horizontal="center" vertical="center" wrapText="1"/>
    </xf>
    <xf numFmtId="165" fontId="67" fillId="0" borderId="124" xfId="24" applyNumberFormat="1" applyFont="1" applyFill="1" applyBorder="1" applyAlignment="1">
      <alignment horizontal="center" vertical="center" wrapText="1"/>
    </xf>
    <xf numFmtId="165" fontId="67" fillId="0" borderId="144" xfId="24" applyNumberFormat="1" applyFont="1" applyFill="1" applyBorder="1" applyAlignment="1">
      <alignment horizontal="center" vertical="center" wrapText="1"/>
    </xf>
    <xf numFmtId="165" fontId="67" fillId="0" borderId="103" xfId="24" applyNumberFormat="1" applyFont="1" applyFill="1" applyBorder="1" applyAlignment="1">
      <alignment horizontal="center" vertical="center" wrapText="1"/>
    </xf>
    <xf numFmtId="165" fontId="67" fillId="0" borderId="0" xfId="24" applyNumberFormat="1" applyFont="1" applyFill="1" applyAlignment="1">
      <alignment horizontal="center" vertical="center" wrapText="1"/>
    </xf>
    <xf numFmtId="165" fontId="13" fillId="0" borderId="101" xfId="24" applyNumberFormat="1" applyFont="1" applyFill="1" applyBorder="1" applyAlignment="1">
      <alignment horizontal="center" vertical="center" wrapText="1"/>
    </xf>
    <xf numFmtId="165" fontId="13" fillId="0" borderId="124" xfId="24" applyNumberFormat="1" applyFont="1" applyFill="1" applyBorder="1" applyAlignment="1">
      <alignment horizontal="left" vertical="center" wrapText="1" indent="1"/>
    </xf>
    <xf numFmtId="165" fontId="10" fillId="0" borderId="124" xfId="24" applyNumberFormat="1" applyFont="1" applyFill="1" applyBorder="1" applyAlignment="1">
      <alignment horizontal="left" vertical="center" wrapText="1" indent="2"/>
    </xf>
    <xf numFmtId="165" fontId="10" fillId="0" borderId="145" xfId="24" applyNumberFormat="1" applyFont="1" applyFill="1" applyBorder="1" applyAlignment="1">
      <alignment horizontal="left" vertical="center" wrapText="1" indent="2"/>
    </xf>
    <xf numFmtId="165" fontId="13" fillId="0" borderId="101" xfId="24" applyNumberFormat="1" applyFont="1" applyFill="1" applyBorder="1" applyAlignment="1">
      <alignment vertical="center" wrapText="1"/>
    </xf>
    <xf numFmtId="165" fontId="13" fillId="0" borderId="102" xfId="24" applyNumberFormat="1" applyFont="1" applyFill="1" applyBorder="1" applyAlignment="1">
      <alignment vertical="center" wrapText="1"/>
    </xf>
    <xf numFmtId="165" fontId="13" fillId="0" borderId="103" xfId="24" applyNumberFormat="1" applyFont="1" applyFill="1" applyBorder="1" applyAlignment="1">
      <alignment vertical="center" wrapText="1"/>
    </xf>
    <xf numFmtId="165" fontId="10" fillId="0" borderId="0" xfId="24" applyNumberFormat="1" applyFont="1" applyFill="1" applyAlignment="1">
      <alignment vertical="center" wrapText="1"/>
    </xf>
    <xf numFmtId="165" fontId="13" fillId="0" borderId="146" xfId="24" applyNumberFormat="1" applyFont="1" applyFill="1" applyBorder="1" applyAlignment="1">
      <alignment horizontal="center" vertical="center" wrapText="1"/>
    </xf>
    <xf numFmtId="165" fontId="10" fillId="0" borderId="130" xfId="24" applyNumberFormat="1" applyFont="1" applyFill="1" applyBorder="1" applyAlignment="1" applyProtection="1">
      <alignment horizontal="left" vertical="center" wrapText="1" indent="1"/>
      <protection locked="0"/>
    </xf>
    <xf numFmtId="170" fontId="10" fillId="0" borderId="130" xfId="24" applyNumberFormat="1" applyFont="1" applyFill="1" applyBorder="1" applyAlignment="1" applyProtection="1">
      <alignment horizontal="left" vertical="center" wrapText="1" indent="2"/>
      <protection locked="0"/>
    </xf>
    <xf numFmtId="170" fontId="10" fillId="0" borderId="136" xfId="24" applyNumberFormat="1" applyFont="1" applyFill="1" applyBorder="1" applyAlignment="1" applyProtection="1">
      <alignment horizontal="left" vertical="center" wrapText="1" indent="2"/>
      <protection locked="0"/>
    </xf>
    <xf numFmtId="165" fontId="10" fillId="0" borderId="146" xfId="24" applyNumberFormat="1" applyFont="1" applyFill="1" applyBorder="1" applyAlignment="1" applyProtection="1">
      <alignment vertical="center" wrapText="1"/>
      <protection locked="0"/>
    </xf>
    <xf numFmtId="165" fontId="10" fillId="0" borderId="136" xfId="24" applyNumberFormat="1" applyFont="1" applyFill="1" applyBorder="1" applyAlignment="1" applyProtection="1">
      <alignment vertical="center" wrapText="1"/>
      <protection locked="0"/>
    </xf>
    <xf numFmtId="165" fontId="10" fillId="0" borderId="137" xfId="24" applyNumberFormat="1" applyFont="1" applyFill="1" applyBorder="1" applyAlignment="1" applyProtection="1">
      <alignment vertical="center" wrapText="1"/>
      <protection locked="0"/>
    </xf>
    <xf numFmtId="165" fontId="13" fillId="0" borderId="147" xfId="24" applyNumberFormat="1" applyFont="1" applyFill="1" applyBorder="1" applyAlignment="1">
      <alignment horizontal="center" vertical="center" wrapText="1"/>
    </xf>
    <xf numFmtId="165" fontId="13" fillId="0" borderId="124" xfId="24" applyNumberFormat="1" applyFont="1" applyFill="1" applyBorder="1" applyAlignment="1">
      <alignment horizontal="center" vertical="center" wrapText="1"/>
    </xf>
    <xf numFmtId="165" fontId="28" fillId="0" borderId="101" xfId="24" applyNumberFormat="1" applyFont="1" applyFill="1" applyBorder="1" applyAlignment="1">
      <alignment horizontal="center" vertical="center" wrapText="1"/>
    </xf>
    <xf numFmtId="165" fontId="28" fillId="0" borderId="124" xfId="24" applyNumberFormat="1" applyFont="1" applyFill="1" applyBorder="1" applyAlignment="1">
      <alignment horizontal="left" vertical="center" wrapText="1" indent="1"/>
    </xf>
    <xf numFmtId="165" fontId="27" fillId="16" borderId="124" xfId="24" applyNumberFormat="1" applyFont="1" applyFill="1" applyBorder="1" applyAlignment="1">
      <alignment horizontal="left" vertical="center" wrapText="1" indent="2"/>
    </xf>
    <xf numFmtId="165" fontId="27" fillId="16" borderId="145" xfId="24" applyNumberFormat="1" applyFont="1" applyFill="1" applyBorder="1" applyAlignment="1">
      <alignment horizontal="left" vertical="center" wrapText="1" indent="2"/>
    </xf>
    <xf numFmtId="165" fontId="28" fillId="0" borderId="101" xfId="24" applyNumberFormat="1" applyFont="1" applyFill="1" applyBorder="1" applyAlignment="1">
      <alignment vertical="center" wrapText="1"/>
    </xf>
    <xf numFmtId="165" fontId="28" fillId="0" borderId="102" xfId="24" applyNumberFormat="1" applyFont="1" applyFill="1" applyBorder="1" applyAlignment="1">
      <alignment vertical="center" wrapText="1"/>
    </xf>
    <xf numFmtId="165" fontId="28" fillId="0" borderId="103" xfId="24" applyNumberFormat="1" applyFont="1" applyFill="1" applyBorder="1" applyAlignment="1">
      <alignment vertical="center" wrapText="1"/>
    </xf>
    <xf numFmtId="165" fontId="27" fillId="0" borderId="0" xfId="24" applyNumberFormat="1" applyFont="1" applyFill="1" applyAlignment="1">
      <alignment vertical="center" wrapText="1"/>
    </xf>
    <xf numFmtId="165" fontId="75" fillId="0" borderId="0" xfId="24" applyNumberFormat="1" applyFill="1" applyAlignment="1">
      <alignment horizontal="center" vertical="center" wrapText="1"/>
    </xf>
    <xf numFmtId="165" fontId="75" fillId="0" borderId="0" xfId="24" applyNumberFormat="1" applyFill="1" applyAlignment="1">
      <alignment vertical="center" wrapText="1"/>
    </xf>
    <xf numFmtId="165" fontId="62" fillId="0" borderId="0" xfId="24" applyNumberFormat="1" applyFont="1" applyFill="1" applyAlignment="1">
      <alignment horizontal="right"/>
    </xf>
    <xf numFmtId="165" fontId="67" fillId="0" borderId="111" xfId="24" applyNumberFormat="1" applyFont="1" applyFill="1" applyBorder="1" applyAlignment="1">
      <alignment horizontal="center" vertical="center" wrapText="1"/>
    </xf>
    <xf numFmtId="165" fontId="10" fillId="0" borderId="102" xfId="24" applyNumberFormat="1" applyFont="1" applyFill="1" applyBorder="1" applyAlignment="1" applyProtection="1">
      <alignment horizontal="left" vertical="center" wrapText="1" indent="2"/>
    </xf>
    <xf numFmtId="165" fontId="10" fillId="0" borderId="124" xfId="24" applyNumberFormat="1" applyFont="1" applyFill="1" applyBorder="1" applyAlignment="1" applyProtection="1">
      <alignment vertical="center" wrapText="1"/>
    </xf>
    <xf numFmtId="165" fontId="10" fillId="0" borderId="102" xfId="24" applyNumberFormat="1" applyFont="1" applyFill="1" applyBorder="1" applyAlignment="1" applyProtection="1">
      <alignment vertical="center" wrapText="1"/>
    </xf>
    <xf numFmtId="165" fontId="10" fillId="0" borderId="144" xfId="24" applyNumberFormat="1" applyFont="1" applyFill="1" applyBorder="1" applyAlignment="1" applyProtection="1">
      <alignment vertical="center" wrapText="1"/>
    </xf>
    <xf numFmtId="165" fontId="10" fillId="0" borderId="103" xfId="24" applyNumberFormat="1" applyFont="1" applyFill="1" applyBorder="1" applyAlignment="1" applyProtection="1">
      <alignment vertical="center" wrapText="1"/>
    </xf>
    <xf numFmtId="165" fontId="10" fillId="0" borderId="124" xfId="24" applyNumberFormat="1" applyFont="1" applyFill="1" applyBorder="1" applyAlignment="1">
      <alignment vertical="center" wrapText="1"/>
    </xf>
    <xf numFmtId="165" fontId="10" fillId="0" borderId="130" xfId="24" applyNumberFormat="1" applyFont="1" applyFill="1" applyBorder="1" applyAlignment="1" applyProtection="1">
      <alignment vertical="center" wrapText="1"/>
      <protection locked="0"/>
    </xf>
    <xf numFmtId="165" fontId="10" fillId="0" borderId="148" xfId="24" applyNumberFormat="1" applyFont="1" applyFill="1" applyBorder="1" applyAlignment="1" applyProtection="1">
      <alignment vertical="center" wrapText="1"/>
      <protection locked="0"/>
    </xf>
    <xf numFmtId="165" fontId="10" fillId="0" borderId="130" xfId="24" applyNumberFormat="1" applyFont="1" applyFill="1" applyBorder="1" applyAlignment="1">
      <alignment vertical="center" wrapText="1"/>
    </xf>
    <xf numFmtId="165" fontId="13" fillId="0" borderId="124" xfId="24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30" xfId="24" applyNumberFormat="1" applyFont="1" applyFill="1" applyBorder="1" applyAlignment="1">
      <alignment horizontal="left" vertical="center" wrapText="1" indent="1"/>
    </xf>
    <xf numFmtId="165" fontId="55" fillId="0" borderId="130" xfId="24" applyNumberFormat="1" applyFont="1" applyFill="1" applyBorder="1" applyAlignment="1" applyProtection="1">
      <alignment vertical="center" wrapText="1"/>
      <protection locked="0"/>
    </xf>
    <xf numFmtId="165" fontId="10" fillId="0" borderId="124" xfId="24" applyNumberFormat="1" applyFont="1" applyFill="1" applyBorder="1" applyAlignment="1">
      <alignment horizontal="left" vertical="center" wrapText="1" indent="1"/>
    </xf>
    <xf numFmtId="165" fontId="10" fillId="0" borderId="0" xfId="24" applyNumberFormat="1" applyFont="1" applyFill="1" applyAlignment="1" applyProtection="1">
      <alignment vertical="center" wrapText="1"/>
      <protection locked="0"/>
    </xf>
    <xf numFmtId="165" fontId="10" fillId="0" borderId="132" xfId="24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25" xfId="24" applyNumberFormat="1" applyFont="1" applyFill="1" applyBorder="1" applyAlignment="1" applyProtection="1">
      <alignment horizontal="left" vertical="center" wrapText="1" indent="1"/>
      <protection locked="0"/>
    </xf>
    <xf numFmtId="49" fontId="91" fillId="0" borderId="0" xfId="24" applyNumberFormat="1" applyFont="1" applyFill="1" applyAlignment="1">
      <alignment vertical="center" wrapText="1"/>
    </xf>
    <xf numFmtId="49" fontId="72" fillId="0" borderId="0" xfId="24" applyNumberFormat="1" applyFont="1" applyFill="1" applyAlignment="1">
      <alignment wrapText="1"/>
    </xf>
    <xf numFmtId="0" fontId="72" fillId="0" borderId="0" xfId="24" applyNumberFormat="1" applyFont="1" applyFill="1" applyAlignment="1">
      <alignment wrapText="1"/>
    </xf>
    <xf numFmtId="165" fontId="91" fillId="0" borderId="0" xfId="24" applyNumberFormat="1" applyFont="1" applyFill="1" applyAlignment="1">
      <alignment vertical="center" wrapText="1"/>
    </xf>
    <xf numFmtId="165" fontId="92" fillId="0" borderId="0" xfId="24" applyNumberFormat="1" applyFont="1" applyFill="1" applyAlignment="1">
      <alignment vertical="center" wrapText="1"/>
    </xf>
    <xf numFmtId="165" fontId="55" fillId="0" borderId="108" xfId="24" applyNumberFormat="1" applyFont="1" applyFill="1" applyBorder="1" applyAlignment="1" applyProtection="1">
      <alignment vertical="center" wrapText="1"/>
    </xf>
    <xf numFmtId="165" fontId="55" fillId="0" borderId="136" xfId="24" applyNumberFormat="1" applyFont="1" applyFill="1" applyBorder="1" applyAlignment="1" applyProtection="1">
      <alignment vertical="center" wrapText="1"/>
      <protection locked="0"/>
    </xf>
    <xf numFmtId="3" fontId="55" fillId="0" borderId="136" xfId="25" applyNumberFormat="1" applyFont="1" applyBorder="1" applyAlignment="1">
      <alignment vertical="center"/>
    </xf>
    <xf numFmtId="165" fontId="10" fillId="0" borderId="136" xfId="24" applyNumberFormat="1" applyFont="1" applyFill="1" applyBorder="1" applyAlignment="1" applyProtection="1">
      <alignment vertical="center" wrapText="1"/>
    </xf>
    <xf numFmtId="165" fontId="55" fillId="0" borderId="110" xfId="24" applyNumberFormat="1" applyFont="1" applyFill="1" applyBorder="1" applyAlignment="1">
      <alignment vertical="center" wrapText="1"/>
    </xf>
    <xf numFmtId="165" fontId="55" fillId="0" borderId="137" xfId="24" applyNumberFormat="1" applyFont="1" applyFill="1" applyBorder="1" applyAlignment="1">
      <alignment vertical="center" wrapText="1"/>
    </xf>
    <xf numFmtId="165" fontId="10" fillId="0" borderId="137" xfId="24" applyNumberFormat="1" applyFont="1" applyFill="1" applyBorder="1" applyAlignment="1">
      <alignment vertical="center" wrapText="1"/>
    </xf>
    <xf numFmtId="165" fontId="55" fillId="0" borderId="109" xfId="24" applyNumberFormat="1" applyFont="1" applyFill="1" applyBorder="1" applyAlignment="1" applyProtection="1">
      <alignment vertical="center" wrapText="1"/>
    </xf>
    <xf numFmtId="165" fontId="55" fillId="0" borderId="150" xfId="24" applyNumberFormat="1" applyFont="1" applyFill="1" applyBorder="1" applyAlignment="1" applyProtection="1">
      <alignment vertical="center" wrapText="1"/>
      <protection locked="0"/>
    </xf>
    <xf numFmtId="3" fontId="55" fillId="0" borderId="150" xfId="25" applyNumberFormat="1" applyFont="1" applyBorder="1" applyAlignment="1">
      <alignment vertical="center"/>
    </xf>
    <xf numFmtId="165" fontId="10" fillId="0" borderId="150" xfId="24" applyNumberFormat="1" applyFont="1" applyFill="1" applyBorder="1" applyAlignment="1" applyProtection="1">
      <alignment vertical="center" wrapText="1"/>
    </xf>
    <xf numFmtId="165" fontId="10" fillId="0" borderId="150" xfId="24" applyNumberFormat="1" applyFont="1" applyFill="1" applyBorder="1" applyAlignment="1" applyProtection="1">
      <alignment vertical="center" wrapText="1"/>
      <protection locked="0"/>
    </xf>
    <xf numFmtId="165" fontId="55" fillId="0" borderId="127" xfId="24" applyNumberFormat="1" applyFont="1" applyFill="1" applyBorder="1" applyAlignment="1" applyProtection="1">
      <alignment horizontal="left" vertical="center" wrapText="1" indent="2"/>
    </xf>
    <xf numFmtId="165" fontId="55" fillId="0" borderId="127" xfId="24" applyNumberFormat="1" applyFont="1" applyFill="1" applyBorder="1" applyAlignment="1" applyProtection="1">
      <alignment vertical="center" wrapText="1"/>
    </xf>
    <xf numFmtId="170" fontId="55" fillId="0" borderId="130" xfId="24" applyNumberFormat="1" applyFont="1" applyFill="1" applyBorder="1" applyAlignment="1" applyProtection="1">
      <alignment horizontal="left" vertical="center" wrapText="1" indent="2"/>
      <protection locked="0"/>
    </xf>
    <xf numFmtId="165" fontId="10" fillId="0" borderId="130" xfId="24" applyNumberFormat="1" applyFont="1" applyFill="1" applyBorder="1" applyAlignment="1" applyProtection="1">
      <alignment horizontal="left" vertical="center" wrapText="1" indent="2"/>
    </xf>
    <xf numFmtId="165" fontId="10" fillId="0" borderId="130" xfId="24" applyNumberFormat="1" applyFont="1" applyFill="1" applyBorder="1" applyAlignment="1" applyProtection="1">
      <alignment vertical="center" wrapText="1"/>
    </xf>
    <xf numFmtId="165" fontId="91" fillId="17" borderId="149" xfId="24" applyNumberFormat="1" applyFont="1" applyFill="1" applyBorder="1" applyAlignment="1" applyProtection="1">
      <alignment horizontal="left" vertical="center" wrapText="1" indent="2"/>
    </xf>
    <xf numFmtId="165" fontId="91" fillId="17" borderId="138" xfId="24" applyNumberFormat="1" applyFont="1" applyFill="1" applyBorder="1" applyAlignment="1" applyProtection="1">
      <alignment vertical="center" wrapText="1"/>
    </xf>
    <xf numFmtId="165" fontId="91" fillId="17" borderId="139" xfId="24" applyNumberFormat="1" applyFont="1" applyFill="1" applyBorder="1" applyAlignment="1">
      <alignment vertical="center" wrapText="1"/>
    </xf>
    <xf numFmtId="0" fontId="85" fillId="0" borderId="111" xfId="23" applyFont="1" applyBorder="1" applyAlignment="1">
      <alignment horizontal="center" vertical="center" wrapText="1"/>
    </xf>
    <xf numFmtId="0" fontId="85" fillId="0" borderId="111" xfId="23" applyFont="1" applyBorder="1" applyAlignment="1">
      <alignment horizontal="center" vertical="center"/>
    </xf>
    <xf numFmtId="0" fontId="86" fillId="0" borderId="131" xfId="23" applyFont="1" applyBorder="1" applyAlignment="1">
      <alignment horizontal="left" vertical="center" wrapText="1"/>
    </xf>
    <xf numFmtId="3" fontId="86" fillId="0" borderId="137" xfId="23" applyNumberFormat="1" applyFont="1" applyBorder="1" applyAlignment="1">
      <alignment horizontal="right" vertical="center" wrapText="1"/>
    </xf>
    <xf numFmtId="3" fontId="85" fillId="0" borderId="127" xfId="23" applyNumberFormat="1" applyFont="1" applyBorder="1" applyAlignment="1">
      <alignment horizontal="right" vertical="center"/>
    </xf>
    <xf numFmtId="3" fontId="85" fillId="0" borderId="130" xfId="23" applyNumberFormat="1" applyFont="1" applyBorder="1" applyAlignment="1">
      <alignment horizontal="right" vertical="center" wrapText="1"/>
    </xf>
    <xf numFmtId="165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3" fontId="85" fillId="0" borderId="125" xfId="23" applyNumberFormat="1" applyFont="1" applyBorder="1" applyAlignment="1">
      <alignment horizontal="right" vertical="center"/>
    </xf>
    <xf numFmtId="3" fontId="85" fillId="0" borderId="128" xfId="23" applyNumberFormat="1" applyFont="1" applyBorder="1" applyAlignment="1">
      <alignment horizontal="right" vertical="center"/>
    </xf>
    <xf numFmtId="3" fontId="3" fillId="0" borderId="0" xfId="23" applyNumberFormat="1" applyAlignment="1">
      <alignment vertical="center"/>
    </xf>
    <xf numFmtId="3" fontId="3" fillId="0" borderId="0" xfId="23" applyNumberFormat="1" applyAlignment="1">
      <alignment horizontal="right" vertical="center"/>
    </xf>
    <xf numFmtId="3" fontId="89" fillId="0" borderId="98" xfId="23" applyNumberFormat="1" applyFont="1" applyBorder="1" applyAlignment="1">
      <alignment horizontal="right" vertical="center"/>
    </xf>
    <xf numFmtId="0" fontId="98" fillId="0" borderId="0" xfId="27"/>
    <xf numFmtId="0" fontId="99" fillId="0" borderId="0" xfId="27" applyFont="1" applyAlignment="1">
      <alignment horizontal="center"/>
    </xf>
    <xf numFmtId="0" fontId="100" fillId="0" borderId="0" xfId="27" applyFont="1" applyAlignment="1">
      <alignment horizontal="center"/>
    </xf>
    <xf numFmtId="0" fontId="46" fillId="0" borderId="157" xfId="27" applyFont="1" applyBorder="1"/>
    <xf numFmtId="0" fontId="46" fillId="0" borderId="108" xfId="27" applyFont="1" applyBorder="1"/>
    <xf numFmtId="0" fontId="46" fillId="0" borderId="110" xfId="27" applyFont="1" applyBorder="1"/>
    <xf numFmtId="0" fontId="101" fillId="0" borderId="146" xfId="27" applyFont="1" applyBorder="1"/>
    <xf numFmtId="0" fontId="46" fillId="0" borderId="155" xfId="27" applyFont="1" applyBorder="1"/>
    <xf numFmtId="0" fontId="46" fillId="0" borderId="156" xfId="27" applyFont="1" applyBorder="1"/>
    <xf numFmtId="0" fontId="46" fillId="0" borderId="146" xfId="27" applyFont="1" applyBorder="1"/>
    <xf numFmtId="49" fontId="101" fillId="0" borderId="155" xfId="27" applyNumberFormat="1" applyFont="1" applyBorder="1" applyAlignment="1">
      <alignment horizontal="center"/>
    </xf>
    <xf numFmtId="49" fontId="101" fillId="0" borderId="156" xfId="27" applyNumberFormat="1" applyFont="1" applyBorder="1" applyAlignment="1">
      <alignment horizontal="center"/>
    </xf>
    <xf numFmtId="49" fontId="46" fillId="0" borderId="155" xfId="27" applyNumberFormat="1" applyFont="1" applyBorder="1"/>
    <xf numFmtId="49" fontId="46" fillId="0" borderId="156" xfId="27" applyNumberFormat="1" applyFont="1" applyBorder="1"/>
    <xf numFmtId="0" fontId="103" fillId="0" borderId="146" xfId="27" applyFont="1" applyBorder="1"/>
    <xf numFmtId="49" fontId="46" fillId="0" borderId="155" xfId="27" applyNumberFormat="1" applyFont="1" applyBorder="1" applyAlignment="1">
      <alignment horizontal="center"/>
    </xf>
    <xf numFmtId="49" fontId="46" fillId="0" borderId="156" xfId="27" applyNumberFormat="1" applyFont="1" applyBorder="1" applyAlignment="1">
      <alignment horizontal="center"/>
    </xf>
    <xf numFmtId="49" fontId="46" fillId="0" borderId="140" xfId="27" applyNumberFormat="1" applyFont="1" applyBorder="1" applyAlignment="1">
      <alignment horizontal="center" wrapText="1"/>
    </xf>
    <xf numFmtId="0" fontId="46" fillId="0" borderId="153" xfId="27" applyFont="1" applyBorder="1" applyAlignment="1">
      <alignment horizontal="center" wrapText="1"/>
    </xf>
    <xf numFmtId="0" fontId="102" fillId="0" borderId="146" xfId="27" applyFont="1" applyBorder="1"/>
    <xf numFmtId="49" fontId="103" fillId="0" borderId="146" xfId="27" applyNumberFormat="1" applyFont="1" applyBorder="1"/>
    <xf numFmtId="3" fontId="46" fillId="0" borderId="156" xfId="27" applyNumberFormat="1" applyFont="1" applyBorder="1" applyAlignment="1">
      <alignment horizontal="center"/>
    </xf>
    <xf numFmtId="49" fontId="104" fillId="0" borderId="0" xfId="27" applyNumberFormat="1" applyFont="1"/>
    <xf numFmtId="49" fontId="98" fillId="0" borderId="0" xfId="27" applyNumberFormat="1"/>
    <xf numFmtId="176" fontId="98" fillId="0" borderId="0" xfId="27" applyNumberFormat="1"/>
    <xf numFmtId="0" fontId="103" fillId="0" borderId="146" xfId="27" applyFont="1" applyBorder="1" applyAlignment="1">
      <alignment wrapText="1"/>
    </xf>
    <xf numFmtId="0" fontId="14" fillId="0" borderId="160" xfId="22" applyFont="1" applyFill="1" applyBorder="1" applyAlignment="1" applyProtection="1">
      <alignment horizontal="left" vertical="center" indent="1"/>
    </xf>
    <xf numFmtId="0" fontId="14" fillId="0" borderId="161" xfId="22" applyFont="1" applyFill="1" applyBorder="1" applyAlignment="1" applyProtection="1">
      <alignment horizontal="left" vertical="center" indent="1"/>
    </xf>
    <xf numFmtId="165" fontId="14" fillId="0" borderId="161" xfId="22" applyNumberFormat="1" applyFont="1" applyFill="1" applyBorder="1" applyAlignment="1" applyProtection="1">
      <alignment vertical="center"/>
      <protection locked="0"/>
    </xf>
    <xf numFmtId="165" fontId="14" fillId="0" borderId="162" xfId="22" applyNumberFormat="1" applyFont="1" applyFill="1" applyBorder="1" applyAlignment="1" applyProtection="1">
      <alignment vertical="center"/>
    </xf>
    <xf numFmtId="0" fontId="14" fillId="0" borderId="163" xfId="22" applyFont="1" applyFill="1" applyBorder="1" applyAlignment="1" applyProtection="1">
      <alignment horizontal="left" vertical="center" wrapText="1" indent="1"/>
    </xf>
    <xf numFmtId="165" fontId="14" fillId="0" borderId="163" xfId="22" applyNumberFormat="1" applyFont="1" applyFill="1" applyBorder="1" applyAlignment="1" applyProtection="1">
      <alignment vertical="center"/>
      <protection locked="0"/>
    </xf>
    <xf numFmtId="165" fontId="14" fillId="0" borderId="164" xfId="22" applyNumberFormat="1" applyFont="1" applyFill="1" applyBorder="1" applyAlignment="1" applyProtection="1">
      <alignment vertical="center"/>
    </xf>
    <xf numFmtId="0" fontId="14" fillId="0" borderId="161" xfId="22" applyFont="1" applyFill="1" applyBorder="1" applyAlignment="1" applyProtection="1">
      <alignment horizontal="left" vertical="center" wrapText="1" indent="1"/>
    </xf>
    <xf numFmtId="165" fontId="82" fillId="0" borderId="161" xfId="22" applyNumberFormat="1" applyFont="1" applyFill="1" applyBorder="1" applyAlignment="1" applyProtection="1">
      <alignment vertical="center"/>
      <protection locked="0"/>
    </xf>
    <xf numFmtId="0" fontId="14" fillId="0" borderId="163" xfId="22" applyFont="1" applyFill="1" applyBorder="1" applyAlignment="1" applyProtection="1">
      <alignment horizontal="left" vertical="center" indent="1"/>
    </xf>
    <xf numFmtId="49" fontId="68" fillId="0" borderId="160" xfId="17" applyNumberFormat="1" applyFont="1" applyFill="1" applyBorder="1" applyAlignment="1">
      <alignment horizontal="left" vertical="center" indent="1"/>
    </xf>
    <xf numFmtId="49" fontId="10" fillId="0" borderId="160" xfId="17" applyNumberFormat="1" applyFont="1" applyFill="1" applyBorder="1" applyAlignment="1">
      <alignment vertical="center"/>
    </xf>
    <xf numFmtId="49" fontId="14" fillId="0" borderId="165" xfId="17" applyNumberFormat="1" applyFont="1" applyFill="1" applyBorder="1" applyAlignment="1" applyProtection="1">
      <alignment vertical="center"/>
      <protection locked="0"/>
    </xf>
    <xf numFmtId="49" fontId="14" fillId="0" borderId="160" xfId="17" applyNumberFormat="1" applyFont="1" applyFill="1" applyBorder="1" applyAlignment="1" applyProtection="1">
      <alignment vertical="center"/>
      <protection locked="0"/>
    </xf>
    <xf numFmtId="165" fontId="12" fillId="0" borderId="45" xfId="0" applyNumberFormat="1" applyFont="1" applyFill="1" applyBorder="1" applyAlignment="1">
      <alignment vertical="center" wrapText="1"/>
    </xf>
    <xf numFmtId="165" fontId="12" fillId="0" borderId="42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85" fillId="0" borderId="166" xfId="23" applyFont="1" applyBorder="1" applyAlignment="1">
      <alignment horizontal="center" vertical="center"/>
    </xf>
    <xf numFmtId="0" fontId="87" fillId="0" borderId="167" xfId="23" applyFont="1" applyBorder="1" applyAlignment="1">
      <alignment horizontal="left" vertical="center" wrapText="1"/>
    </xf>
    <xf numFmtId="3" fontId="3" fillId="0" borderId="166" xfId="23" applyNumberFormat="1" applyBorder="1" applyAlignment="1">
      <alignment horizontal="right" vertical="center"/>
    </xf>
    <xf numFmtId="0" fontId="85" fillId="0" borderId="168" xfId="23" applyFont="1" applyFill="1" applyBorder="1" applyAlignment="1">
      <alignment horizontal="left" vertical="center" wrapText="1"/>
    </xf>
    <xf numFmtId="3" fontId="87" fillId="0" borderId="169" xfId="23" applyNumberFormat="1" applyFont="1" applyBorder="1" applyAlignment="1">
      <alignment horizontal="right" vertical="center"/>
    </xf>
    <xf numFmtId="3" fontId="85" fillId="0" borderId="169" xfId="23" applyNumberFormat="1" applyFont="1" applyBorder="1" applyAlignment="1">
      <alignment horizontal="right" vertical="center"/>
    </xf>
    <xf numFmtId="0" fontId="12" fillId="9" borderId="11" xfId="0" applyFont="1" applyFill="1" applyBorder="1" applyAlignment="1" applyProtection="1">
      <alignment horizontal="center" vertical="center" wrapText="1"/>
    </xf>
    <xf numFmtId="49" fontId="11" fillId="9" borderId="12" xfId="21" applyNumberFormat="1" applyFont="1" applyFill="1" applyBorder="1" applyAlignment="1" applyProtection="1">
      <alignment horizontal="left" vertical="center" wrapText="1" indent="1"/>
    </xf>
    <xf numFmtId="0" fontId="16" fillId="9" borderId="12" xfId="21" applyFont="1" applyFill="1" applyBorder="1" applyAlignment="1" applyProtection="1">
      <alignment horizontal="left" vertical="center" wrapText="1" indent="1"/>
    </xf>
    <xf numFmtId="165" fontId="16" fillId="9" borderId="13" xfId="0" applyNumberFormat="1" applyFont="1" applyFill="1" applyBorder="1" applyAlignment="1" applyProtection="1">
      <alignment vertical="center" wrapText="1"/>
    </xf>
    <xf numFmtId="165" fontId="16" fillId="9" borderId="12" xfId="0" applyNumberFormat="1" applyFont="1" applyFill="1" applyBorder="1" applyAlignment="1" applyProtection="1">
      <alignment vertical="center" wrapText="1"/>
    </xf>
    <xf numFmtId="0" fontId="11" fillId="9" borderId="0" xfId="0" applyFont="1" applyFill="1" applyAlignment="1">
      <alignment vertical="center" wrapText="1"/>
    </xf>
    <xf numFmtId="0" fontId="12" fillId="9" borderId="8" xfId="0" applyFont="1" applyFill="1" applyBorder="1" applyAlignment="1" applyProtection="1">
      <alignment horizontal="center" vertical="center" wrapText="1"/>
    </xf>
    <xf numFmtId="49" fontId="11" fillId="9" borderId="9" xfId="21" applyNumberFormat="1" applyFont="1" applyFill="1" applyBorder="1" applyAlignment="1" applyProtection="1">
      <alignment horizontal="left" vertical="center" wrapText="1" indent="1"/>
    </xf>
    <xf numFmtId="0" fontId="16" fillId="9" borderId="9" xfId="21" applyFont="1" applyFill="1" applyBorder="1" applyAlignment="1" applyProtection="1">
      <alignment horizontal="left" vertical="center" wrapText="1" indent="1"/>
    </xf>
    <xf numFmtId="165" fontId="16" fillId="9" borderId="10" xfId="0" applyNumberFormat="1" applyFont="1" applyFill="1" applyBorder="1" applyAlignment="1" applyProtection="1">
      <alignment vertical="center" wrapText="1"/>
    </xf>
    <xf numFmtId="165" fontId="16" fillId="9" borderId="9" xfId="0" applyNumberFormat="1" applyFont="1" applyFill="1" applyBorder="1" applyAlignment="1" applyProtection="1">
      <alignment vertical="center" wrapText="1"/>
    </xf>
    <xf numFmtId="165" fontId="16" fillId="9" borderId="82" xfId="0" applyNumberFormat="1" applyFont="1" applyFill="1" applyBorder="1" applyAlignment="1" applyProtection="1">
      <alignment vertical="center" wrapText="1"/>
    </xf>
    <xf numFmtId="165" fontId="11" fillId="9" borderId="10" xfId="0" applyNumberFormat="1" applyFont="1" applyFill="1" applyBorder="1" applyAlignment="1" applyProtection="1">
      <alignment vertical="center" wrapText="1"/>
      <protection locked="0"/>
    </xf>
    <xf numFmtId="0" fontId="1" fillId="0" borderId="0" xfId="28" applyAlignment="1">
      <alignment vertical="center"/>
    </xf>
    <xf numFmtId="0" fontId="94" fillId="0" borderId="0" xfId="28" applyFont="1" applyAlignment="1">
      <alignment vertical="center"/>
    </xf>
    <xf numFmtId="0" fontId="85" fillId="0" borderId="127" xfId="28" applyFont="1" applyBorder="1" applyAlignment="1">
      <alignment horizontal="center" vertical="center" wrapText="1"/>
    </xf>
    <xf numFmtId="0" fontId="87" fillId="0" borderId="0" xfId="28" applyFont="1" applyAlignment="1">
      <alignment vertical="center"/>
    </xf>
    <xf numFmtId="0" fontId="85" fillId="0" borderId="170" xfId="28" applyFont="1" applyBorder="1" applyAlignment="1">
      <alignment horizontal="center" vertical="center" wrapText="1"/>
    </xf>
    <xf numFmtId="0" fontId="85" fillId="0" borderId="171" xfId="28" applyFont="1" applyBorder="1" applyAlignment="1">
      <alignment horizontal="center" vertical="center" wrapText="1"/>
    </xf>
    <xf numFmtId="0" fontId="85" fillId="0" borderId="172" xfId="28" applyFont="1" applyBorder="1" applyAlignment="1">
      <alignment horizontal="center" vertical="center" wrapText="1"/>
    </xf>
    <xf numFmtId="0" fontId="85" fillId="15" borderId="173" xfId="28" applyFont="1" applyFill="1" applyBorder="1" applyAlignment="1">
      <alignment horizontal="center" vertical="center" wrapText="1"/>
    </xf>
    <xf numFmtId="0" fontId="85" fillId="15" borderId="172" xfId="28" applyFont="1" applyFill="1" applyBorder="1" applyAlignment="1">
      <alignment horizontal="center" vertical="center" wrapText="1"/>
    </xf>
    <xf numFmtId="0" fontId="85" fillId="0" borderId="174" xfId="28" applyFont="1" applyBorder="1" applyAlignment="1">
      <alignment vertical="center"/>
    </xf>
    <xf numFmtId="0" fontId="87" fillId="13" borderId="152" xfId="28" applyFont="1" applyFill="1" applyBorder="1" applyAlignment="1">
      <alignment vertical="center"/>
    </xf>
    <xf numFmtId="3" fontId="87" fillId="15" borderId="153" xfId="28" applyNumberFormat="1" applyFont="1" applyFill="1" applyBorder="1" applyAlignment="1">
      <alignment vertical="center"/>
    </xf>
    <xf numFmtId="3" fontId="87" fillId="0" borderId="153" xfId="28" applyNumberFormat="1" applyFont="1" applyBorder="1" applyAlignment="1">
      <alignment vertical="center"/>
    </xf>
    <xf numFmtId="3" fontId="87" fillId="15" borderId="154" xfId="28" applyNumberFormat="1" applyFont="1" applyFill="1" applyBorder="1" applyAlignment="1">
      <alignment vertical="center"/>
    </xf>
    <xf numFmtId="0" fontId="85" fillId="0" borderId="175" xfId="28" applyFont="1" applyBorder="1" applyAlignment="1">
      <alignment vertical="center"/>
    </xf>
    <xf numFmtId="0" fontId="87" fillId="13" borderId="176" xfId="28" applyFont="1" applyFill="1" applyBorder="1" applyAlignment="1">
      <alignment vertical="center"/>
    </xf>
    <xf numFmtId="3" fontId="85" fillId="15" borderId="177" xfId="28" applyNumberFormat="1" applyFont="1" applyFill="1" applyBorder="1" applyAlignment="1">
      <alignment vertical="center"/>
    </xf>
    <xf numFmtId="3" fontId="87" fillId="0" borderId="177" xfId="28" applyNumberFormat="1" applyFont="1" applyBorder="1" applyAlignment="1">
      <alignment vertical="center"/>
    </xf>
    <xf numFmtId="3" fontId="87" fillId="15" borderId="178" xfId="28" applyNumberFormat="1" applyFont="1" applyFill="1" applyBorder="1" applyAlignment="1">
      <alignment vertical="center"/>
    </xf>
    <xf numFmtId="3" fontId="85" fillId="15" borderId="153" xfId="28" applyNumberFormat="1" applyFont="1" applyFill="1" applyBorder="1" applyAlignment="1">
      <alignment vertical="center"/>
    </xf>
    <xf numFmtId="0" fontId="95" fillId="0" borderId="175" xfId="28" applyFont="1" applyBorder="1" applyAlignment="1">
      <alignment vertical="center"/>
    </xf>
    <xf numFmtId="3" fontId="87" fillId="15" borderId="177" xfId="28" applyNumberFormat="1" applyFont="1" applyFill="1" applyBorder="1" applyAlignment="1">
      <alignment vertical="center"/>
    </xf>
    <xf numFmtId="0" fontId="85" fillId="0" borderId="175" xfId="28" applyFont="1" applyBorder="1" applyAlignment="1">
      <alignment vertical="center" wrapText="1"/>
    </xf>
    <xf numFmtId="0" fontId="85" fillId="13" borderId="176" xfId="28" applyFont="1" applyFill="1" applyBorder="1" applyAlignment="1">
      <alignment vertical="center"/>
    </xf>
    <xf numFmtId="3" fontId="85" fillId="0" borderId="177" xfId="28" applyNumberFormat="1" applyFont="1" applyBorder="1" applyAlignment="1">
      <alignment vertical="center"/>
    </xf>
    <xf numFmtId="3" fontId="85" fillId="15" borderId="178" xfId="28" applyNumberFormat="1" applyFont="1" applyFill="1" applyBorder="1" applyAlignment="1">
      <alignment vertical="center"/>
    </xf>
    <xf numFmtId="0" fontId="85" fillId="0" borderId="0" xfId="28" applyFont="1" applyAlignment="1">
      <alignment vertical="center"/>
    </xf>
    <xf numFmtId="0" fontId="105" fillId="0" borderId="0" xfId="28" applyFont="1" applyAlignment="1">
      <alignment vertical="center"/>
    </xf>
    <xf numFmtId="0" fontId="95" fillId="0" borderId="175" xfId="28" applyFont="1" applyBorder="1" applyAlignment="1">
      <alignment horizontal="left" vertical="center" indent="2"/>
    </xf>
    <xf numFmtId="0" fontId="1" fillId="13" borderId="176" xfId="28" applyFill="1" applyBorder="1" applyAlignment="1">
      <alignment vertical="center"/>
    </xf>
    <xf numFmtId="3" fontId="1" fillId="15" borderId="177" xfId="28" applyNumberFormat="1" applyFill="1" applyBorder="1" applyAlignment="1">
      <alignment vertical="center"/>
    </xf>
    <xf numFmtId="3" fontId="1" fillId="0" borderId="177" xfId="28" applyNumberFormat="1" applyBorder="1" applyAlignment="1">
      <alignment vertical="center"/>
    </xf>
    <xf numFmtId="3" fontId="1" fillId="15" borderId="178" xfId="28" applyNumberFormat="1" applyFill="1" applyBorder="1" applyAlignment="1">
      <alignment vertical="center"/>
    </xf>
    <xf numFmtId="0" fontId="85" fillId="0" borderId="179" xfId="28" applyFont="1" applyBorder="1" applyAlignment="1">
      <alignment vertical="center"/>
    </xf>
    <xf numFmtId="0" fontId="1" fillId="13" borderId="180" xfId="28" applyFill="1" applyBorder="1" applyAlignment="1">
      <alignment vertical="center"/>
    </xf>
    <xf numFmtId="3" fontId="1" fillId="15" borderId="181" xfId="28" applyNumberFormat="1" applyFill="1" applyBorder="1" applyAlignment="1">
      <alignment vertical="center"/>
    </xf>
    <xf numFmtId="3" fontId="1" fillId="0" borderId="181" xfId="28" applyNumberFormat="1" applyBorder="1" applyAlignment="1">
      <alignment vertical="center"/>
    </xf>
    <xf numFmtId="0" fontId="1" fillId="13" borderId="182" xfId="28" applyFill="1" applyBorder="1" applyAlignment="1">
      <alignment vertical="center"/>
    </xf>
    <xf numFmtId="0" fontId="1" fillId="13" borderId="0" xfId="28" applyFill="1" applyBorder="1" applyAlignment="1">
      <alignment vertical="center"/>
    </xf>
    <xf numFmtId="0" fontId="85" fillId="0" borderId="111" xfId="28" applyFont="1" applyBorder="1" applyAlignment="1">
      <alignment vertical="center"/>
    </xf>
    <xf numFmtId="3" fontId="1" fillId="0" borderId="0" xfId="28" applyNumberFormat="1" applyBorder="1" applyAlignment="1">
      <alignment vertical="center"/>
    </xf>
    <xf numFmtId="0" fontId="93" fillId="0" borderId="124" xfId="28" applyFont="1" applyBorder="1" applyAlignment="1">
      <alignment vertical="center"/>
    </xf>
    <xf numFmtId="0" fontId="1" fillId="0" borderId="97" xfId="28" applyBorder="1" applyAlignment="1">
      <alignment vertical="center"/>
    </xf>
    <xf numFmtId="3" fontId="106" fillId="15" borderId="181" xfId="28" applyNumberFormat="1" applyFont="1" applyFill="1" applyBorder="1" applyAlignment="1">
      <alignment vertical="center"/>
    </xf>
    <xf numFmtId="3" fontId="84" fillId="0" borderId="97" xfId="28" applyNumberFormat="1" applyFont="1" applyBorder="1" applyAlignment="1">
      <alignment vertical="center"/>
    </xf>
    <xf numFmtId="3" fontId="84" fillId="15" borderId="153" xfId="28" applyNumberFormat="1" applyFont="1" applyFill="1" applyBorder="1" applyAlignment="1">
      <alignment vertical="center"/>
    </xf>
    <xf numFmtId="0" fontId="93" fillId="0" borderId="0" xfId="28" applyFont="1" applyBorder="1" applyAlignment="1">
      <alignment vertical="center"/>
    </xf>
    <xf numFmtId="0" fontId="1" fillId="0" borderId="0" xfId="28" applyBorder="1" applyAlignment="1">
      <alignment vertical="center"/>
    </xf>
    <xf numFmtId="3" fontId="106" fillId="15" borderId="0" xfId="28" applyNumberFormat="1" applyFont="1" applyFill="1" applyBorder="1" applyAlignment="1">
      <alignment vertical="center"/>
    </xf>
    <xf numFmtId="3" fontId="84" fillId="0" borderId="0" xfId="28" applyNumberFormat="1" applyFont="1" applyBorder="1" applyAlignment="1">
      <alignment vertical="center"/>
    </xf>
    <xf numFmtId="3" fontId="84" fillId="15" borderId="0" xfId="28" applyNumberFormat="1" applyFont="1" applyFill="1" applyBorder="1" applyAlignment="1">
      <alignment vertical="center"/>
    </xf>
    <xf numFmtId="3" fontId="108" fillId="0" borderId="181" xfId="28" applyNumberFormat="1" applyFont="1" applyBorder="1" applyAlignment="1">
      <alignment vertical="center"/>
    </xf>
    <xf numFmtId="4" fontId="108" fillId="0" borderId="181" xfId="28" applyNumberFormat="1" applyFont="1" applyBorder="1" applyAlignment="1">
      <alignment vertical="center"/>
    </xf>
    <xf numFmtId="3" fontId="84" fillId="0" borderId="181" xfId="28" applyNumberFormat="1" applyFont="1" applyBorder="1" applyAlignment="1">
      <alignment vertical="center"/>
    </xf>
    <xf numFmtId="0" fontId="93" fillId="0" borderId="0" xfId="28" applyFont="1" applyAlignment="1">
      <alignment vertical="center"/>
    </xf>
    <xf numFmtId="0" fontId="1" fillId="0" borderId="0" xfId="28"/>
    <xf numFmtId="0" fontId="88" fillId="0" borderId="127" xfId="28" applyFont="1" applyBorder="1" applyAlignment="1">
      <alignment horizontal="center" vertical="center" wrapText="1"/>
    </xf>
    <xf numFmtId="0" fontId="88" fillId="0" borderId="170" xfId="28" applyFont="1" applyBorder="1" applyAlignment="1">
      <alignment horizontal="center" vertical="center" wrapText="1"/>
    </xf>
    <xf numFmtId="0" fontId="88" fillId="0" borderId="171" xfId="28" applyFont="1" applyBorder="1" applyAlignment="1">
      <alignment horizontal="center" vertical="center" wrapText="1"/>
    </xf>
    <xf numFmtId="0" fontId="88" fillId="0" borderId="172" xfId="28" applyFont="1" applyBorder="1" applyAlignment="1">
      <alignment horizontal="center" vertical="center" wrapText="1"/>
    </xf>
    <xf numFmtId="0" fontId="88" fillId="15" borderId="173" xfId="28" applyFont="1" applyFill="1" applyBorder="1" applyAlignment="1">
      <alignment horizontal="center" vertical="center" wrapText="1"/>
    </xf>
    <xf numFmtId="0" fontId="88" fillId="15" borderId="172" xfId="28" applyFont="1" applyFill="1" applyBorder="1" applyAlignment="1">
      <alignment horizontal="center" vertical="center" wrapText="1"/>
    </xf>
    <xf numFmtId="0" fontId="88" fillId="0" borderId="175" xfId="28" applyFont="1" applyBorder="1" applyAlignment="1">
      <alignment vertical="center"/>
    </xf>
    <xf numFmtId="3" fontId="107" fillId="15" borderId="152" xfId="28" applyNumberFormat="1" applyFont="1" applyFill="1" applyBorder="1"/>
    <xf numFmtId="3" fontId="107" fillId="15" borderId="153" xfId="28" applyNumberFormat="1" applyFont="1" applyFill="1" applyBorder="1"/>
    <xf numFmtId="3" fontId="107" fillId="0" borderId="153" xfId="28" applyNumberFormat="1" applyFont="1" applyBorder="1" applyAlignment="1">
      <alignment vertical="center"/>
    </xf>
    <xf numFmtId="3" fontId="107" fillId="15" borderId="153" xfId="28" applyNumberFormat="1" applyFont="1" applyFill="1" applyBorder="1" applyAlignment="1">
      <alignment vertical="center"/>
    </xf>
    <xf numFmtId="3" fontId="107" fillId="15" borderId="154" xfId="28" applyNumberFormat="1" applyFont="1" applyFill="1" applyBorder="1" applyAlignment="1">
      <alignment vertical="center"/>
    </xf>
    <xf numFmtId="3" fontId="107" fillId="15" borderId="176" xfId="28" applyNumberFormat="1" applyFont="1" applyFill="1" applyBorder="1"/>
    <xf numFmtId="3" fontId="107" fillId="15" borderId="177" xfId="28" applyNumberFormat="1" applyFont="1" applyFill="1" applyBorder="1"/>
    <xf numFmtId="3" fontId="107" fillId="0" borderId="177" xfId="28" applyNumberFormat="1" applyFont="1" applyBorder="1" applyAlignment="1">
      <alignment vertical="center"/>
    </xf>
    <xf numFmtId="3" fontId="84" fillId="15" borderId="183" xfId="28" applyNumberFormat="1" applyFont="1" applyFill="1" applyBorder="1"/>
    <xf numFmtId="3" fontId="84" fillId="0" borderId="183" xfId="28" applyNumberFormat="1" applyFont="1" applyBorder="1" applyAlignment="1">
      <alignment vertical="center"/>
    </xf>
    <xf numFmtId="3" fontId="107" fillId="0" borderId="0" xfId="28" applyNumberFormat="1" applyFont="1"/>
    <xf numFmtId="3" fontId="107" fillId="0" borderId="0" xfId="28" applyNumberFormat="1" applyFont="1" applyAlignment="1">
      <alignment vertical="center"/>
    </xf>
    <xf numFmtId="0" fontId="106" fillId="0" borderId="0" xfId="28" applyFont="1" applyAlignment="1">
      <alignment horizontal="right"/>
    </xf>
    <xf numFmtId="3" fontId="84" fillId="0" borderId="0" xfId="28" applyNumberFormat="1" applyFont="1" applyAlignment="1">
      <alignment horizontal="center"/>
    </xf>
    <xf numFmtId="3" fontId="84" fillId="0" borderId="0" xfId="28" applyNumberFormat="1" applyFont="1"/>
    <xf numFmtId="0" fontId="106" fillId="0" borderId="0" xfId="28" applyFont="1" applyAlignment="1">
      <alignment horizontal="left"/>
    </xf>
    <xf numFmtId="0" fontId="88" fillId="0" borderId="0" xfId="28" applyFont="1" applyAlignment="1"/>
    <xf numFmtId="0" fontId="85" fillId="0" borderId="0" xfId="28" applyFont="1" applyBorder="1" applyAlignment="1">
      <alignment horizontal="center" vertical="center" wrapText="1"/>
    </xf>
    <xf numFmtId="0" fontId="88" fillId="15" borderId="180" xfId="28" applyFont="1" applyFill="1" applyBorder="1" applyAlignment="1">
      <alignment horizontal="center" vertical="center" wrapText="1"/>
    </xf>
    <xf numFmtId="0" fontId="88" fillId="15" borderId="190" xfId="28" applyFont="1" applyFill="1" applyBorder="1" applyAlignment="1">
      <alignment horizontal="center" vertical="center" wrapText="1"/>
    </xf>
    <xf numFmtId="0" fontId="107" fillId="0" borderId="191" xfId="28" applyFont="1" applyBorder="1"/>
    <xf numFmtId="3" fontId="107" fillId="0" borderId="177" xfId="28" applyNumberFormat="1" applyFont="1" applyBorder="1"/>
    <xf numFmtId="3" fontId="1" fillId="0" borderId="177" xfId="28" applyNumberFormat="1" applyBorder="1"/>
    <xf numFmtId="0" fontId="1" fillId="0" borderId="178" xfId="28" applyBorder="1"/>
    <xf numFmtId="0" fontId="107" fillId="0" borderId="192" xfId="28" applyFont="1" applyBorder="1"/>
    <xf numFmtId="0" fontId="107" fillId="0" borderId="193" xfId="28" applyFont="1" applyBorder="1"/>
    <xf numFmtId="3" fontId="107" fillId="0" borderId="181" xfId="28" applyNumberFormat="1" applyFont="1" applyBorder="1"/>
    <xf numFmtId="3" fontId="1" fillId="0" borderId="181" xfId="28" applyNumberFormat="1" applyBorder="1"/>
    <xf numFmtId="0" fontId="1" fillId="0" borderId="190" xfId="28" applyBorder="1"/>
    <xf numFmtId="0" fontId="84" fillId="17" borderId="194" xfId="28" applyFont="1" applyFill="1" applyBorder="1"/>
    <xf numFmtId="3" fontId="84" fillId="17" borderId="195" xfId="28" applyNumberFormat="1" applyFont="1" applyFill="1" applyBorder="1"/>
    <xf numFmtId="3" fontId="84" fillId="17" borderId="196" xfId="28" applyNumberFormat="1" applyFont="1" applyFill="1" applyBorder="1"/>
    <xf numFmtId="0" fontId="106" fillId="0" borderId="0" xfId="28" applyFont="1"/>
    <xf numFmtId="0" fontId="107" fillId="0" borderId="0" xfId="28" applyFont="1"/>
    <xf numFmtId="3" fontId="87" fillId="0" borderId="197" xfId="23" applyNumberFormat="1" applyFont="1" applyBorder="1" applyAlignment="1">
      <alignment horizontal="right" vertical="center"/>
    </xf>
    <xf numFmtId="3" fontId="88" fillId="0" borderId="183" xfId="23" applyNumberFormat="1" applyFont="1" applyBorder="1" applyAlignment="1">
      <alignment horizontal="right" vertical="center" wrapText="1"/>
    </xf>
    <xf numFmtId="3" fontId="88" fillId="0" borderId="172" xfId="23" applyNumberFormat="1" applyFont="1" applyBorder="1" applyAlignment="1">
      <alignment horizontal="right" vertical="center" wrapText="1"/>
    </xf>
    <xf numFmtId="3" fontId="88" fillId="0" borderId="171" xfId="23" applyNumberFormat="1" applyFont="1" applyBorder="1" applyAlignment="1">
      <alignment horizontal="right" vertical="center" wrapText="1"/>
    </xf>
    <xf numFmtId="3" fontId="87" fillId="0" borderId="198" xfId="23" applyNumberFormat="1" applyFont="1" applyBorder="1" applyAlignment="1">
      <alignment horizontal="right" vertical="center"/>
    </xf>
    <xf numFmtId="3" fontId="87" fillId="0" borderId="199" xfId="23" applyNumberFormat="1" applyFont="1" applyBorder="1" applyAlignment="1">
      <alignment horizontal="right" vertical="center"/>
    </xf>
    <xf numFmtId="3" fontId="85" fillId="0" borderId="200" xfId="23" applyNumberFormat="1" applyFont="1" applyBorder="1" applyAlignment="1">
      <alignment horizontal="right" vertical="center"/>
    </xf>
    <xf numFmtId="3" fontId="85" fillId="0" borderId="201" xfId="23" applyNumberFormat="1" applyFont="1" applyBorder="1" applyAlignment="1">
      <alignment horizontal="right" vertical="center"/>
    </xf>
    <xf numFmtId="3" fontId="85" fillId="0" borderId="202" xfId="23" applyNumberFormat="1" applyFont="1" applyBorder="1" applyAlignment="1">
      <alignment horizontal="right" vertical="center"/>
    </xf>
    <xf numFmtId="3" fontId="85" fillId="0" borderId="203" xfId="23" applyNumberFormat="1" applyFont="1" applyBorder="1" applyAlignment="1">
      <alignment horizontal="right" vertical="center"/>
    </xf>
    <xf numFmtId="3" fontId="87" fillId="0" borderId="204" xfId="23" applyNumberFormat="1" applyFont="1" applyBorder="1" applyAlignment="1">
      <alignment horizontal="right" vertical="center"/>
    </xf>
    <xf numFmtId="3" fontId="89" fillId="0" borderId="124" xfId="23" applyNumberFormat="1" applyFont="1" applyBorder="1" applyAlignment="1">
      <alignment horizontal="right" vertical="center"/>
    </xf>
    <xf numFmtId="3" fontId="88" fillId="0" borderId="128" xfId="23" applyNumberFormat="1" applyFont="1" applyBorder="1" applyAlignment="1">
      <alignment horizontal="right" vertical="center" wrapText="1"/>
    </xf>
    <xf numFmtId="3" fontId="87" fillId="0" borderId="205" xfId="23" applyNumberFormat="1" applyFont="1" applyBorder="1" applyAlignment="1">
      <alignment horizontal="right" vertical="center" wrapText="1"/>
    </xf>
    <xf numFmtId="3" fontId="87" fillId="0" borderId="206" xfId="23" applyNumberFormat="1" applyFont="1" applyBorder="1" applyAlignment="1">
      <alignment horizontal="right" vertical="center" wrapText="1"/>
    </xf>
    <xf numFmtId="3" fontId="87" fillId="0" borderId="200" xfId="23" applyNumberFormat="1" applyFont="1" applyBorder="1" applyAlignment="1">
      <alignment horizontal="right" vertical="center" wrapText="1"/>
    </xf>
    <xf numFmtId="0" fontId="88" fillId="15" borderId="96" xfId="23" applyFont="1" applyFill="1" applyBorder="1" applyAlignment="1">
      <alignment horizontal="center" vertical="center" wrapText="1"/>
    </xf>
    <xf numFmtId="0" fontId="88" fillId="15" borderId="97" xfId="23" applyFont="1" applyFill="1" applyBorder="1" applyAlignment="1">
      <alignment horizontal="center" vertical="center" wrapText="1"/>
    </xf>
    <xf numFmtId="0" fontId="88" fillId="14" borderId="120" xfId="23" applyFont="1" applyFill="1" applyBorder="1" applyAlignment="1">
      <alignment horizontal="center" vertical="center"/>
    </xf>
    <xf numFmtId="0" fontId="88" fillId="14" borderId="0" xfId="23" applyFont="1" applyFill="1" applyBorder="1" applyAlignment="1">
      <alignment horizontal="center" vertical="center"/>
    </xf>
    <xf numFmtId="0" fontId="88" fillId="14" borderId="94" xfId="23" applyFont="1" applyFill="1" applyBorder="1" applyAlignment="1">
      <alignment horizontal="center" vertical="center"/>
    </xf>
    <xf numFmtId="0" fontId="88" fillId="14" borderId="95" xfId="23" applyFont="1" applyFill="1" applyBorder="1" applyAlignment="1">
      <alignment horizontal="center" vertical="center"/>
    </xf>
    <xf numFmtId="0" fontId="88" fillId="14" borderId="96" xfId="23" applyFont="1" applyFill="1" applyBorder="1" applyAlignment="1">
      <alignment horizontal="center" vertical="center"/>
    </xf>
    <xf numFmtId="0" fontId="88" fillId="14" borderId="97" xfId="23" applyFont="1" applyFill="1" applyBorder="1" applyAlignment="1">
      <alignment horizontal="center" vertical="center"/>
    </xf>
    <xf numFmtId="0" fontId="88" fillId="14" borderId="98" xfId="23" applyFont="1" applyFill="1" applyBorder="1" applyAlignment="1">
      <alignment horizontal="center" vertical="center"/>
    </xf>
    <xf numFmtId="0" fontId="85" fillId="14" borderId="97" xfId="23" applyFont="1" applyFill="1" applyBorder="1" applyAlignment="1">
      <alignment horizontal="center" vertical="center"/>
    </xf>
    <xf numFmtId="0" fontId="85" fillId="14" borderId="98" xfId="23" applyFont="1" applyFill="1" applyBorder="1" applyAlignment="1">
      <alignment horizontal="center" vertical="center"/>
    </xf>
    <xf numFmtId="165" fontId="22" fillId="0" borderId="89" xfId="21" applyNumberFormat="1" applyFont="1" applyFill="1" applyBorder="1" applyAlignment="1" applyProtection="1">
      <alignment horizontal="left" vertical="center"/>
    </xf>
    <xf numFmtId="0" fontId="15" fillId="2" borderId="2" xfId="10" applyFont="1" applyFill="1" applyBorder="1" applyAlignment="1">
      <alignment horizontal="center"/>
    </xf>
    <xf numFmtId="0" fontId="19" fillId="2" borderId="17" xfId="10" applyFont="1" applyFill="1" applyBorder="1" applyAlignment="1">
      <alignment horizontal="center"/>
    </xf>
    <xf numFmtId="0" fontId="21" fillId="0" borderId="36" xfId="21" applyFont="1" applyFill="1" applyBorder="1" applyAlignment="1" applyProtection="1">
      <alignment horizontal="left" vertical="center" wrapText="1"/>
    </xf>
    <xf numFmtId="0" fontId="13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left" wrapText="1"/>
    </xf>
    <xf numFmtId="165" fontId="24" fillId="0" borderId="0" xfId="0" applyNumberFormat="1" applyFont="1" applyFill="1" applyBorder="1" applyAlignment="1">
      <alignment horizontal="center" textRotation="180" wrapText="1"/>
    </xf>
    <xf numFmtId="165" fontId="10" fillId="0" borderId="0" xfId="0" applyNumberFormat="1" applyFont="1" applyFill="1" applyBorder="1" applyAlignment="1">
      <alignment horizontal="right" vertical="center"/>
    </xf>
    <xf numFmtId="165" fontId="12" fillId="0" borderId="30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165" fontId="12" fillId="0" borderId="44" xfId="0" applyNumberFormat="1" applyFont="1" applyFill="1" applyBorder="1" applyAlignment="1">
      <alignment horizontal="center" vertical="center" wrapText="1"/>
    </xf>
    <xf numFmtId="165" fontId="12" fillId="0" borderId="42" xfId="0" applyNumberFormat="1" applyFont="1" applyFill="1" applyBorder="1" applyAlignment="1">
      <alignment horizontal="center" vertical="center" wrapText="1"/>
    </xf>
    <xf numFmtId="0" fontId="85" fillId="15" borderId="106" xfId="28" applyFont="1" applyFill="1" applyBorder="1" applyAlignment="1">
      <alignment horizontal="center" vertical="center" wrapText="1"/>
    </xf>
    <xf numFmtId="0" fontId="85" fillId="15" borderId="123" xfId="28" applyFont="1" applyFill="1" applyBorder="1" applyAlignment="1">
      <alignment horizontal="center" vertical="center" wrapText="1"/>
    </xf>
    <xf numFmtId="0" fontId="96" fillId="0" borderId="0" xfId="28" applyFont="1" applyAlignment="1">
      <alignment horizontal="center" vertical="center" wrapText="1"/>
    </xf>
    <xf numFmtId="0" fontId="93" fillId="0" borderId="0" xfId="28" applyFont="1" applyAlignment="1">
      <alignment horizontal="center" vertical="center"/>
    </xf>
    <xf numFmtId="0" fontId="85" fillId="0" borderId="105" xfId="28" applyFont="1" applyBorder="1" applyAlignment="1">
      <alignment horizontal="center" vertical="center" wrapText="1"/>
    </xf>
    <xf numFmtId="0" fontId="85" fillId="0" borderId="142" xfId="28" applyFont="1" applyBorder="1" applyAlignment="1">
      <alignment horizontal="center" vertical="center" wrapText="1"/>
    </xf>
    <xf numFmtId="0" fontId="85" fillId="13" borderId="105" xfId="28" applyFont="1" applyFill="1" applyBorder="1" applyAlignment="1">
      <alignment horizontal="center" vertical="center" wrapText="1"/>
    </xf>
    <xf numFmtId="0" fontId="85" fillId="13" borderId="142" xfId="28" applyFont="1" applyFill="1" applyBorder="1" applyAlignment="1">
      <alignment horizontal="center" vertical="center" wrapText="1"/>
    </xf>
    <xf numFmtId="0" fontId="85" fillId="15" borderId="105" xfId="28" applyFont="1" applyFill="1" applyBorder="1" applyAlignment="1">
      <alignment horizontal="center" vertical="center" wrapText="1"/>
    </xf>
    <xf numFmtId="0" fontId="85" fillId="15" borderId="142" xfId="28" applyFont="1" applyFill="1" applyBorder="1" applyAlignment="1">
      <alignment horizontal="center" vertical="center" wrapText="1"/>
    </xf>
    <xf numFmtId="0" fontId="85" fillId="0" borderId="107" xfId="28" applyFont="1" applyBorder="1" applyAlignment="1">
      <alignment horizontal="center" vertical="center" wrapText="1"/>
    </xf>
    <xf numFmtId="0" fontId="85" fillId="0" borderId="123" xfId="28" applyFont="1" applyBorder="1" applyAlignment="1">
      <alignment horizontal="center" vertical="center" wrapText="1"/>
    </xf>
    <xf numFmtId="0" fontId="93" fillId="0" borderId="0" xfId="28" applyFont="1" applyAlignment="1">
      <alignment horizontal="center"/>
    </xf>
    <xf numFmtId="0" fontId="88" fillId="0" borderId="105" xfId="28" applyFont="1" applyBorder="1" applyAlignment="1">
      <alignment horizontal="center" vertical="center" wrapText="1"/>
    </xf>
    <xf numFmtId="0" fontId="88" fillId="0" borderId="142" xfId="28" applyFont="1" applyBorder="1" applyAlignment="1">
      <alignment horizontal="center" vertical="center" wrapText="1"/>
    </xf>
    <xf numFmtId="0" fontId="88" fillId="15" borderId="104" xfId="28" applyFont="1" applyFill="1" applyBorder="1" applyAlignment="1">
      <alignment horizontal="center" vertical="center" wrapText="1"/>
    </xf>
    <xf numFmtId="0" fontId="88" fillId="15" borderId="151" xfId="28" applyFont="1" applyFill="1" applyBorder="1" applyAlignment="1">
      <alignment horizontal="center" vertical="center" wrapText="1"/>
    </xf>
    <xf numFmtId="0" fontId="88" fillId="15" borderId="105" xfId="28" applyFont="1" applyFill="1" applyBorder="1" applyAlignment="1">
      <alignment horizontal="center" vertical="center" wrapText="1"/>
    </xf>
    <xf numFmtId="0" fontId="88" fillId="15" borderId="142" xfId="28" applyFont="1" applyFill="1" applyBorder="1" applyAlignment="1">
      <alignment horizontal="center" vertical="center" wrapText="1"/>
    </xf>
    <xf numFmtId="0" fontId="88" fillId="0" borderId="107" xfId="28" applyFont="1" applyBorder="1" applyAlignment="1">
      <alignment horizontal="center" vertical="center" wrapText="1"/>
    </xf>
    <xf numFmtId="0" fontId="88" fillId="0" borderId="123" xfId="28" applyFont="1" applyBorder="1" applyAlignment="1">
      <alignment horizontal="center" vertical="center" wrapText="1"/>
    </xf>
    <xf numFmtId="0" fontId="88" fillId="15" borderId="106" xfId="28" applyFont="1" applyFill="1" applyBorder="1" applyAlignment="1">
      <alignment horizontal="center" vertical="center" wrapText="1"/>
    </xf>
    <xf numFmtId="0" fontId="88" fillId="15" borderId="123" xfId="28" applyFont="1" applyFill="1" applyBorder="1" applyAlignment="1">
      <alignment horizontal="center" vertical="center" wrapText="1"/>
    </xf>
    <xf numFmtId="0" fontId="96" fillId="0" borderId="0" xfId="28" applyFont="1" applyAlignment="1">
      <alignment horizontal="center" wrapText="1"/>
    </xf>
    <xf numFmtId="0" fontId="88" fillId="0" borderId="184" xfId="28" applyFont="1" applyBorder="1" applyAlignment="1">
      <alignment horizontal="center" vertical="center" wrapText="1"/>
    </xf>
    <xf numFmtId="0" fontId="88" fillId="0" borderId="189" xfId="28" applyFont="1" applyBorder="1" applyAlignment="1">
      <alignment horizontal="center" vertical="center" wrapText="1"/>
    </xf>
    <xf numFmtId="0" fontId="88" fillId="0" borderId="185" xfId="28" applyFont="1" applyBorder="1" applyAlignment="1">
      <alignment horizontal="center" vertical="center" wrapText="1"/>
    </xf>
    <xf numFmtId="0" fontId="88" fillId="0" borderId="152" xfId="28" applyFont="1" applyBorder="1" applyAlignment="1">
      <alignment horizontal="center" vertical="center" wrapText="1"/>
    </xf>
    <xf numFmtId="0" fontId="88" fillId="0" borderId="186" xfId="28" applyFont="1" applyBorder="1" applyAlignment="1">
      <alignment horizontal="center" vertical="center" wrapText="1"/>
    </xf>
    <xf numFmtId="0" fontId="88" fillId="0" borderId="153" xfId="28" applyFont="1" applyBorder="1" applyAlignment="1">
      <alignment horizontal="center" vertical="center" wrapText="1"/>
    </xf>
    <xf numFmtId="0" fontId="88" fillId="15" borderId="187" xfId="28" applyFont="1" applyFill="1" applyBorder="1" applyAlignment="1">
      <alignment horizontal="center" vertical="center" wrapText="1"/>
    </xf>
    <xf numFmtId="0" fontId="88" fillId="15" borderId="188" xfId="28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center" wrapText="1"/>
    </xf>
    <xf numFmtId="14" fontId="13" fillId="0" borderId="45" xfId="0" applyNumberFormat="1" applyFont="1" applyFill="1" applyBorder="1" applyAlignment="1" applyProtection="1">
      <alignment horizontal="center" vertical="center"/>
    </xf>
    <xf numFmtId="14" fontId="13" fillId="0" borderId="41" xfId="0" applyNumberFormat="1" applyFont="1" applyFill="1" applyBorder="1" applyAlignment="1" applyProtection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42" xfId="0" applyNumberFormat="1" applyFont="1" applyFill="1" applyBorder="1" applyAlignment="1">
      <alignment horizontal="center" vertical="center" wrapText="1"/>
    </xf>
    <xf numFmtId="0" fontId="12" fillId="0" borderId="45" xfId="0" applyFont="1" applyFill="1" applyBorder="1" applyAlignment="1" applyProtection="1">
      <alignment horizontal="left" vertical="center" wrapText="1"/>
    </xf>
    <xf numFmtId="0" fontId="12" fillId="0" borderId="41" xfId="0" applyFont="1" applyFill="1" applyBorder="1" applyAlignment="1" applyProtection="1">
      <alignment horizontal="left" vertical="center" wrapText="1"/>
    </xf>
    <xf numFmtId="0" fontId="12" fillId="0" borderId="44" xfId="21" applyFont="1" applyFill="1" applyBorder="1" applyAlignment="1" applyProtection="1">
      <alignment horizontal="left" vertical="center" wrapText="1"/>
    </xf>
    <xf numFmtId="0" fontId="12" fillId="0" borderId="45" xfId="21" applyFont="1" applyFill="1" applyBorder="1" applyAlignment="1" applyProtection="1">
      <alignment horizontal="left" vertical="center" wrapText="1"/>
    </xf>
    <xf numFmtId="0" fontId="12" fillId="0" borderId="41" xfId="21" applyFont="1" applyFill="1" applyBorder="1" applyAlignment="1" applyProtection="1">
      <alignment horizontal="left" vertical="center" wrapText="1"/>
    </xf>
    <xf numFmtId="0" fontId="70" fillId="0" borderId="61" xfId="21" applyFont="1" applyFill="1" applyBorder="1" applyAlignment="1" applyProtection="1">
      <alignment horizontal="center" vertical="center" wrapText="1"/>
    </xf>
    <xf numFmtId="0" fontId="70" fillId="0" borderId="62" xfId="21" applyFont="1" applyFill="1" applyBorder="1" applyAlignment="1" applyProtection="1">
      <alignment horizontal="center" vertical="center" wrapText="1"/>
    </xf>
    <xf numFmtId="0" fontId="70" fillId="0" borderId="63" xfId="21" applyFont="1" applyFill="1" applyBorder="1" applyAlignment="1" applyProtection="1">
      <alignment horizontal="center" vertical="center" wrapText="1"/>
    </xf>
    <xf numFmtId="0" fontId="70" fillId="0" borderId="90" xfId="21" applyFont="1" applyFill="1" applyBorder="1" applyAlignment="1" applyProtection="1">
      <alignment horizontal="center" vertical="center" wrapText="1"/>
    </xf>
    <xf numFmtId="0" fontId="70" fillId="0" borderId="89" xfId="21" applyFont="1" applyFill="1" applyBorder="1" applyAlignment="1" applyProtection="1">
      <alignment horizontal="center" vertical="center" wrapText="1"/>
    </xf>
    <xf numFmtId="0" fontId="70" fillId="0" borderId="91" xfId="21" applyFont="1" applyFill="1" applyBorder="1" applyAlignment="1" applyProtection="1">
      <alignment horizontal="center" vertical="center" wrapText="1"/>
    </xf>
    <xf numFmtId="0" fontId="12" fillId="0" borderId="2" xfId="21" applyFont="1" applyFill="1" applyBorder="1" applyAlignment="1" applyProtection="1">
      <alignment horizontal="left" vertical="center" wrapText="1"/>
    </xf>
    <xf numFmtId="166" fontId="13" fillId="0" borderId="45" xfId="0" applyNumberFormat="1" applyFont="1" applyFill="1" applyBorder="1" applyAlignment="1" applyProtection="1">
      <alignment horizontal="center"/>
    </xf>
    <xf numFmtId="165" fontId="13" fillId="0" borderId="30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39" fillId="0" borderId="27" xfId="10" applyFont="1" applyBorder="1" applyAlignment="1">
      <alignment horizontal="center" vertical="center"/>
    </xf>
    <xf numFmtId="0" fontId="19" fillId="2" borderId="9" xfId="10" applyFont="1" applyFill="1" applyBorder="1" applyAlignment="1"/>
    <xf numFmtId="49" fontId="45" fillId="0" borderId="47" xfId="10" applyNumberFormat="1" applyFont="1" applyBorder="1" applyAlignment="1"/>
    <xf numFmtId="49" fontId="47" fillId="0" borderId="47" xfId="10" applyNumberFormat="1" applyFont="1" applyBorder="1" applyAlignment="1">
      <alignment horizontal="left"/>
    </xf>
    <xf numFmtId="49" fontId="48" fillId="0" borderId="47" xfId="10" applyNumberFormat="1" applyFont="1" applyBorder="1" applyAlignment="1">
      <alignment horizontal="left"/>
    </xf>
    <xf numFmtId="49" fontId="49" fillId="0" borderId="47" xfId="10" applyNumberFormat="1" applyFont="1" applyBorder="1" applyAlignment="1">
      <alignment horizontal="center"/>
    </xf>
    <xf numFmtId="49" fontId="50" fillId="0" borderId="47" xfId="10" applyNumberFormat="1" applyFont="1" applyBorder="1" applyAlignment="1">
      <alignment horizontal="center"/>
    </xf>
    <xf numFmtId="0" fontId="19" fillId="5" borderId="9" xfId="10" applyFont="1" applyFill="1" applyBorder="1" applyAlignment="1"/>
    <xf numFmtId="0" fontId="40" fillId="5" borderId="9" xfId="10" applyFont="1" applyFill="1" applyBorder="1" applyAlignment="1">
      <alignment horizontal="left" vertical="center"/>
    </xf>
    <xf numFmtId="0" fontId="51" fillId="3" borderId="9" xfId="10" applyFont="1" applyFill="1" applyBorder="1" applyAlignment="1">
      <alignment wrapText="1"/>
    </xf>
    <xf numFmtId="0" fontId="39" fillId="0" borderId="9" xfId="10" applyFont="1" applyBorder="1" applyAlignment="1">
      <alignment horizontal="center" vertical="center"/>
    </xf>
    <xf numFmtId="0" fontId="52" fillId="0" borderId="20" xfId="10" applyFont="1" applyBorder="1" applyAlignment="1">
      <alignment horizontal="center"/>
    </xf>
    <xf numFmtId="0" fontId="19" fillId="2" borderId="33" xfId="10" applyFont="1" applyFill="1" applyBorder="1" applyAlignment="1"/>
    <xf numFmtId="0" fontId="52" fillId="0" borderId="33" xfId="10" applyFont="1" applyBorder="1" applyAlignment="1">
      <alignment horizontal="center"/>
    </xf>
    <xf numFmtId="0" fontId="52" fillId="0" borderId="9" xfId="10" applyFont="1" applyBorder="1" applyAlignment="1">
      <alignment horizont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55" fillId="0" borderId="89" xfId="0" applyFont="1" applyBorder="1" applyAlignment="1" applyProtection="1">
      <alignment horizontal="right" vertical="top"/>
      <protection locked="0"/>
    </xf>
    <xf numFmtId="0" fontId="45" fillId="0" borderId="89" xfId="0" applyFont="1" applyBorder="1" applyAlignment="1" applyProtection="1">
      <alignment horizontal="right" vertical="top"/>
      <protection locked="0"/>
    </xf>
    <xf numFmtId="166" fontId="12" fillId="0" borderId="45" xfId="0" applyNumberFormat="1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49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6" xfId="10" applyFont="1" applyBorder="1" applyAlignment="1">
      <alignment horizontal="center"/>
    </xf>
    <xf numFmtId="49" fontId="30" fillId="0" borderId="56" xfId="10" applyNumberFormat="1" applyFont="1" applyBorder="1" applyAlignment="1">
      <alignment horizontal="left"/>
    </xf>
    <xf numFmtId="49" fontId="30" fillId="0" borderId="56" xfId="10" applyNumberFormat="1" applyFont="1" applyBorder="1" applyAlignment="1">
      <alignment horizontal="center"/>
    </xf>
    <xf numFmtId="0" fontId="30" fillId="0" borderId="20" xfId="10" applyFont="1" applyBorder="1" applyAlignment="1">
      <alignment horizontal="left"/>
    </xf>
    <xf numFmtId="0" fontId="19" fillId="0" borderId="55" xfId="10" applyFont="1" applyBorder="1" applyAlignment="1">
      <alignment horizontal="center"/>
    </xf>
    <xf numFmtId="0" fontId="30" fillId="0" borderId="33" xfId="10" applyFont="1" applyBorder="1" applyAlignment="1">
      <alignment horizontal="center"/>
    </xf>
    <xf numFmtId="165" fontId="13" fillId="0" borderId="11" xfId="0" applyNumberFormat="1" applyFont="1" applyFill="1" applyBorder="1" applyAlignment="1" applyProtection="1">
      <alignment horizontal="center" vertical="center"/>
    </xf>
    <xf numFmtId="165" fontId="0" fillId="0" borderId="75" xfId="0" applyNumberFormat="1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left" vertical="center" wrapText="1"/>
    </xf>
    <xf numFmtId="0" fontId="30" fillId="2" borderId="8" xfId="13" applyFont="1" applyFill="1" applyBorder="1" applyAlignment="1">
      <alignment horizontal="center" vertical="center"/>
    </xf>
    <xf numFmtId="0" fontId="30" fillId="2" borderId="19" xfId="13" applyFont="1" applyFill="1" applyBorder="1" applyAlignment="1">
      <alignment horizontal="center" vertical="center"/>
    </xf>
    <xf numFmtId="165" fontId="0" fillId="0" borderId="75" xfId="0" applyNumberForma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13" fillId="0" borderId="76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Alignment="1">
      <alignment horizontal="left" vertical="center" wrapText="1"/>
    </xf>
    <xf numFmtId="0" fontId="39" fillId="0" borderId="11" xfId="10" applyFont="1" applyBorder="1" applyAlignment="1">
      <alignment horizontal="center" vertical="center"/>
    </xf>
    <xf numFmtId="49" fontId="43" fillId="0" borderId="47" xfId="10" applyNumberFormat="1" applyFont="1" applyBorder="1" applyAlignment="1">
      <alignment horizontal="left" vertical="center"/>
    </xf>
    <xf numFmtId="49" fontId="45" fillId="0" borderId="47" xfId="10" applyNumberFormat="1" applyFont="1" applyBorder="1" applyAlignment="1">
      <alignment horizontal="left" vertical="center"/>
    </xf>
    <xf numFmtId="49" fontId="45" fillId="3" borderId="47" xfId="10" applyNumberFormat="1" applyFont="1" applyFill="1" applyBorder="1" applyAlignment="1">
      <alignment horizontal="left" vertical="center"/>
    </xf>
    <xf numFmtId="0" fontId="39" fillId="0" borderId="92" xfId="10" applyFont="1" applyBorder="1" applyAlignment="1">
      <alignment horizontal="center" vertical="center"/>
    </xf>
    <xf numFmtId="165" fontId="28" fillId="0" borderId="0" xfId="21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right"/>
    </xf>
    <xf numFmtId="0" fontId="13" fillId="0" borderId="1" xfId="21" applyFont="1" applyFill="1" applyBorder="1" applyAlignment="1">
      <alignment horizontal="center" vertical="center" wrapText="1"/>
    </xf>
    <xf numFmtId="0" fontId="13" fillId="0" borderId="5" xfId="21" applyFont="1" applyFill="1" applyBorder="1" applyAlignment="1">
      <alignment horizontal="center" vertical="center" wrapText="1"/>
    </xf>
    <xf numFmtId="0" fontId="13" fillId="0" borderId="12" xfId="21" applyFont="1" applyFill="1" applyBorder="1" applyAlignment="1">
      <alignment horizontal="center" vertical="center" wrapText="1"/>
    </xf>
    <xf numFmtId="0" fontId="13" fillId="0" borderId="6" xfId="21" applyFont="1" applyFill="1" applyBorder="1" applyAlignment="1">
      <alignment horizontal="center" vertical="center" wrapText="1"/>
    </xf>
    <xf numFmtId="0" fontId="13" fillId="2" borderId="1" xfId="21" applyFont="1" applyFill="1" applyBorder="1" applyAlignment="1" applyProtection="1">
      <alignment horizontal="left"/>
    </xf>
    <xf numFmtId="0" fontId="14" fillId="0" borderId="36" xfId="21" applyFont="1" applyFill="1" applyBorder="1" applyAlignment="1">
      <alignment horizontal="justify" vertical="center" wrapText="1"/>
    </xf>
    <xf numFmtId="175" fontId="65" fillId="0" borderId="0" xfId="20" applyNumberFormat="1" applyFont="1" applyAlignment="1">
      <alignment horizontal="center"/>
    </xf>
    <xf numFmtId="3" fontId="65" fillId="0" borderId="0" xfId="20" applyNumberFormat="1" applyFont="1" applyAlignment="1">
      <alignment horizontal="center"/>
    </xf>
    <xf numFmtId="0" fontId="37" fillId="7" borderId="94" xfId="20" applyFont="1" applyFill="1" applyBorder="1" applyAlignment="1">
      <alignment horizontal="center" vertical="center" wrapText="1"/>
    </xf>
    <xf numFmtId="0" fontId="37" fillId="7" borderId="95" xfId="20" applyFont="1" applyFill="1" applyBorder="1" applyAlignment="1">
      <alignment horizontal="center" vertical="center" wrapText="1"/>
    </xf>
    <xf numFmtId="0" fontId="37" fillId="7" borderId="99" xfId="20" applyFont="1" applyFill="1" applyBorder="1" applyAlignment="1">
      <alignment horizontal="center" vertical="center" wrapText="1"/>
    </xf>
    <xf numFmtId="0" fontId="37" fillId="7" borderId="100" xfId="20" applyFont="1" applyFill="1" applyBorder="1" applyAlignment="1">
      <alignment horizontal="center" vertical="center" wrapText="1"/>
    </xf>
    <xf numFmtId="0" fontId="12" fillId="7" borderId="96" xfId="20" applyFont="1" applyFill="1" applyBorder="1" applyAlignment="1">
      <alignment horizontal="center"/>
    </xf>
    <xf numFmtId="0" fontId="12" fillId="7" borderId="97" xfId="20" applyFont="1" applyFill="1" applyBorder="1" applyAlignment="1">
      <alignment horizontal="center"/>
    </xf>
    <xf numFmtId="0" fontId="12" fillId="7" borderId="98" xfId="20" applyFont="1" applyFill="1" applyBorder="1" applyAlignment="1">
      <alignment horizontal="center"/>
    </xf>
    <xf numFmtId="0" fontId="25" fillId="0" borderId="95" xfId="20" applyFont="1" applyBorder="1" applyAlignment="1">
      <alignment horizontal="center" vertical="center" wrapText="1"/>
    </xf>
    <xf numFmtId="0" fontId="25" fillId="0" borderId="104" xfId="20" applyFont="1" applyBorder="1" applyAlignment="1">
      <alignment horizontal="center" vertical="center" wrapText="1"/>
    </xf>
    <xf numFmtId="0" fontId="13" fillId="7" borderId="96" xfId="20" applyFont="1" applyFill="1" applyBorder="1" applyAlignment="1">
      <alignment horizontal="center" vertical="center"/>
    </xf>
    <xf numFmtId="0" fontId="13" fillId="7" borderId="97" xfId="20" applyFont="1" applyFill="1" applyBorder="1" applyAlignment="1">
      <alignment horizontal="center" vertical="center"/>
    </xf>
    <xf numFmtId="0" fontId="80" fillId="0" borderId="97" xfId="15" applyFont="1" applyBorder="1" applyAlignment="1">
      <alignment horizontal="center" vertical="center"/>
    </xf>
    <xf numFmtId="3" fontId="13" fillId="7" borderId="97" xfId="4" applyNumberFormat="1" applyFont="1" applyFill="1" applyBorder="1" applyAlignment="1">
      <alignment horizontal="right"/>
    </xf>
    <xf numFmtId="3" fontId="13" fillId="7" borderId="98" xfId="4" applyNumberFormat="1" applyFont="1" applyFill="1" applyBorder="1" applyAlignment="1">
      <alignment horizontal="right"/>
    </xf>
    <xf numFmtId="175" fontId="12" fillId="7" borderId="100" xfId="4" applyNumberFormat="1" applyFont="1" applyFill="1" applyBorder="1" applyAlignment="1">
      <alignment horizontal="center"/>
    </xf>
    <xf numFmtId="175" fontId="12" fillId="7" borderId="98" xfId="4" applyNumberFormat="1" applyFont="1" applyFill="1" applyBorder="1" applyAlignment="1">
      <alignment horizontal="center"/>
    </xf>
    <xf numFmtId="0" fontId="103" fillId="0" borderId="158" xfId="27" applyFont="1" applyBorder="1" applyAlignment="1"/>
    <xf numFmtId="0" fontId="103" fillId="0" borderId="159" xfId="27" applyFont="1" applyBorder="1" applyAlignment="1"/>
    <xf numFmtId="3" fontId="46" fillId="0" borderId="141" xfId="27" applyNumberFormat="1" applyFont="1" applyBorder="1" applyAlignment="1">
      <alignment horizontal="center"/>
    </xf>
    <xf numFmtId="3" fontId="46" fillId="0" borderId="154" xfId="27" applyNumberFormat="1" applyFont="1" applyBorder="1" applyAlignment="1">
      <alignment horizontal="center"/>
    </xf>
    <xf numFmtId="49" fontId="101" fillId="0" borderId="148" xfId="27" applyNumberFormat="1" applyFont="1" applyBorder="1" applyAlignment="1">
      <alignment horizontal="center"/>
    </xf>
    <xf numFmtId="49" fontId="101" fillId="0" borderId="117" xfId="27" applyNumberFormat="1" applyFont="1" applyBorder="1" applyAlignment="1">
      <alignment horizontal="center"/>
    </xf>
    <xf numFmtId="0" fontId="92" fillId="0" borderId="0" xfId="24" applyNumberFormat="1" applyFont="1" applyFill="1" applyAlignment="1">
      <alignment horizontal="left" wrapText="1"/>
    </xf>
    <xf numFmtId="165" fontId="28" fillId="0" borderId="105" xfId="24" applyNumberFormat="1" applyFont="1" applyFill="1" applyBorder="1" applyAlignment="1">
      <alignment horizontal="center" vertical="center" wrapText="1"/>
    </xf>
    <xf numFmtId="165" fontId="28" fillId="0" borderId="142" xfId="24" applyNumberFormat="1" applyFont="1" applyFill="1" applyBorder="1" applyAlignment="1">
      <alignment horizontal="center" vertical="center" wrapText="1"/>
    </xf>
    <xf numFmtId="165" fontId="28" fillId="0" borderId="105" xfId="24" applyNumberFormat="1" applyFont="1" applyFill="1" applyBorder="1" applyAlignment="1">
      <alignment horizontal="center" vertical="center"/>
    </xf>
    <xf numFmtId="165" fontId="28" fillId="0" borderId="142" xfId="24" applyNumberFormat="1" applyFont="1" applyFill="1" applyBorder="1" applyAlignment="1">
      <alignment horizontal="center" vertical="center"/>
    </xf>
    <xf numFmtId="165" fontId="28" fillId="0" borderId="106" xfId="24" applyNumberFormat="1" applyFont="1" applyFill="1" applyBorder="1" applyAlignment="1">
      <alignment horizontal="center" vertical="center"/>
    </xf>
    <xf numFmtId="165" fontId="28" fillId="0" borderId="123" xfId="24" applyNumberFormat="1" applyFont="1" applyFill="1" applyBorder="1" applyAlignment="1">
      <alignment horizontal="center" vertical="center"/>
    </xf>
    <xf numFmtId="165" fontId="91" fillId="17" borderId="96" xfId="24" applyNumberFormat="1" applyFont="1" applyFill="1" applyBorder="1" applyAlignment="1">
      <alignment horizontal="left" vertical="center" wrapText="1" indent="2"/>
    </xf>
    <xf numFmtId="165" fontId="91" fillId="17" borderId="98" xfId="24" applyNumberFormat="1" applyFont="1" applyFill="1" applyBorder="1" applyAlignment="1">
      <alignment horizontal="left" vertical="center" wrapText="1" indent="2"/>
    </xf>
    <xf numFmtId="0" fontId="13" fillId="0" borderId="0" xfId="17" applyFont="1" applyFill="1" applyBorder="1" applyAlignment="1" applyProtection="1">
      <alignment horizontal="left" wrapText="1"/>
      <protection locked="0"/>
    </xf>
    <xf numFmtId="0" fontId="25" fillId="0" borderId="0" xfId="17" applyFont="1" applyFill="1" applyBorder="1" applyAlignment="1">
      <alignment horizontal="right"/>
    </xf>
    <xf numFmtId="3" fontId="10" fillId="0" borderId="2" xfId="17" applyNumberFormat="1" applyFont="1" applyFill="1" applyBorder="1" applyAlignment="1" applyProtection="1">
      <alignment horizontal="right" vertical="center"/>
      <protection locked="0"/>
    </xf>
    <xf numFmtId="3" fontId="13" fillId="0" borderId="41" xfId="17" applyNumberFormat="1" applyFont="1" applyFill="1" applyBorder="1" applyAlignment="1" applyProtection="1">
      <alignment horizontal="right" vertical="center"/>
      <protection locked="0"/>
    </xf>
    <xf numFmtId="0" fontId="22" fillId="0" borderId="7" xfId="22" applyFont="1" applyFill="1" applyBorder="1" applyAlignment="1" applyProtection="1">
      <alignment horizontal="left" vertical="center" indent="1"/>
    </xf>
    <xf numFmtId="0" fontId="39" fillId="0" borderId="4" xfId="11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</cellXfs>
  <cellStyles count="29">
    <cellStyle name="Ezres" xfId="1" builtinId="3"/>
    <cellStyle name="Ezres 2" xfId="2"/>
    <cellStyle name="Ezres 2 2" xfId="3"/>
    <cellStyle name="Ezres 2 3" xfId="4"/>
    <cellStyle name="Ezres 3" xfId="5"/>
    <cellStyle name="Ezres 4" xfId="6"/>
    <cellStyle name="Ezres 5" xfId="7"/>
    <cellStyle name="Hiperhivatkozás" xfId="8"/>
    <cellStyle name="Már látott hiperhivatkozás" xfId="9"/>
    <cellStyle name="Normál" xfId="0" builtinId="0"/>
    <cellStyle name="Normál 10" xfId="27"/>
    <cellStyle name="Normál 2" xfId="10"/>
    <cellStyle name="Normál 2 2" xfId="11"/>
    <cellStyle name="Normál 2 2 2" xfId="25"/>
    <cellStyle name="Normál 2_11 mellék 2011.06.30." xfId="12"/>
    <cellStyle name="Normál 3" xfId="13"/>
    <cellStyle name="Normál 4" xfId="14"/>
    <cellStyle name="Normál 4 2" xfId="15"/>
    <cellStyle name="Normál 5" xfId="16"/>
    <cellStyle name="Normál 5 2" xfId="17"/>
    <cellStyle name="Normál 6" xfId="18"/>
    <cellStyle name="Normál 7" xfId="19"/>
    <cellStyle name="Normál 8" xfId="23"/>
    <cellStyle name="Normál 9" xfId="26"/>
    <cellStyle name="Normál 9 2" xfId="28"/>
    <cellStyle name="Normál_2005. normatíva" xfId="20"/>
    <cellStyle name="Normál_KVIREND 2" xfId="24"/>
    <cellStyle name="Normál_KVRENMUNKA" xfId="21"/>
    <cellStyle name="Normál_SEGEDLETEK" xfId="22"/>
  </cellStyles>
  <dxfs count="1">
    <dxf>
      <font>
        <b val="0"/>
        <condense val="0"/>
        <extend val="0"/>
        <sz val="11"/>
        <color indexed="1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.%20&#233;vi%20k&#246;lts&#233;gvet&#233;s%20NULL&#193;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sz. mell."/>
      <sheetName val="1.sz.mell."/>
      <sheetName val="1.1.sz.mell  "/>
      <sheetName val="1.2.sz.mell  "/>
      <sheetName val="1.3. sz. mell"/>
      <sheetName val="1.4. sz. mell"/>
      <sheetName val="1.5. sz. mell"/>
      <sheetName val="2. sz. mell "/>
      <sheetName val="3. sz. mell"/>
      <sheetName val="3.1.asz.melléklet"/>
      <sheetName val="3.2.sz.melléklet"/>
      <sheetName val="4. sz. mell."/>
      <sheetName val="4.1 sz. mell"/>
      <sheetName val="4.2. sz. mell"/>
      <sheetName val="4.3 sz. mell"/>
      <sheetName val="4.4.sz. mell."/>
      <sheetName val="4.5.sz. mell. "/>
      <sheetName val="4.6 sz. mell."/>
      <sheetName val="4.7.sz. mell."/>
      <sheetName val="4.8.sz. mell."/>
      <sheetName val="5. sz. mell. "/>
      <sheetName val="5.1. sz. mell. "/>
      <sheetName val="5.2. sz. mell.  "/>
      <sheetName val="5.3 sz. mell"/>
      <sheetName val="5.4. sz mell"/>
      <sheetName val="5.5. sz. mell.  "/>
      <sheetName val="5.6. sz. mell"/>
      <sheetName val="5.7. sz. mell."/>
      <sheetName val="5.8. sz. mell."/>
      <sheetName val="5.9. sz. mell. "/>
      <sheetName val="5.9.1..sz mell."/>
      <sheetName val="5.10. sz. mell."/>
      <sheetName val="5.10.1..sz mell."/>
      <sheetName val="5.11 sz. mell "/>
      <sheetName val="5.11.1. sz. mell."/>
      <sheetName val="6.1.sz.mell. "/>
      <sheetName val="6.2.sz.mell."/>
      <sheetName val="7.1. sz mell."/>
      <sheetName val="7.2.. sz mell."/>
      <sheetName val="8.1.sz.mell."/>
      <sheetName val="8.2.sz.mell."/>
      <sheetName val="8.3.sz.mell."/>
      <sheetName val="9. sz. mell"/>
      <sheetName val="9.1. sz mell"/>
      <sheetName val="10.sz. mell. "/>
      <sheetName val="11.sz.mell."/>
      <sheetName val="12. sz. mell."/>
      <sheetName val="13. sz. mell."/>
      <sheetName val="14.sz.mell"/>
      <sheetName val="15.sz.mell."/>
      <sheetName val="16. sz. mell."/>
      <sheetName val="Munka1"/>
      <sheetName val="Munka2"/>
      <sheetName val="5.1. sz. mell."/>
      <sheetName val="5.2. sz. mell."/>
      <sheetName val="5.3. sz. mell."/>
      <sheetName val="5.4. sz. mell. "/>
      <sheetName val="5.5. sz. mell."/>
      <sheetName val="5.6. sz. mell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4">
          <cell r="I54">
            <v>0</v>
          </cell>
          <cell r="M54">
            <v>1297028</v>
          </cell>
        </row>
      </sheetData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view="pageBreakPreview" topLeftCell="A122" zoomScale="110" zoomScaleNormal="100" zoomScaleSheetLayoutView="110" workbookViewId="0">
      <selection activeCell="D137" sqref="D137:D138"/>
    </sheetView>
  </sheetViews>
  <sheetFormatPr defaultRowHeight="15" x14ac:dyDescent="0.2"/>
  <cols>
    <col min="1" max="1" width="7.83203125" style="1164" customWidth="1"/>
    <col min="2" max="2" width="83.6640625" style="1164" customWidth="1"/>
    <col min="3" max="3" width="19.5" style="1238" customWidth="1"/>
    <col min="4" max="4" width="18.1640625" style="1238" customWidth="1"/>
    <col min="5" max="5" width="17.33203125" style="1238" customWidth="1"/>
    <col min="6" max="6" width="9.33203125" style="1164"/>
    <col min="7" max="7" width="9.5" style="1164" bestFit="1" customWidth="1"/>
    <col min="8" max="8" width="12.5" style="1164" customWidth="1"/>
    <col min="9" max="16384" width="9.33203125" style="1164"/>
  </cols>
  <sheetData>
    <row r="1" spans="1:7" ht="39.75" customHeight="1" thickBot="1" x14ac:dyDescent="0.25">
      <c r="A1" s="1161"/>
      <c r="B1" s="1162" t="s">
        <v>1234</v>
      </c>
      <c r="C1" s="1163" t="s">
        <v>1675</v>
      </c>
      <c r="D1" s="1163" t="s">
        <v>1676</v>
      </c>
      <c r="E1" s="1163" t="s">
        <v>1480</v>
      </c>
    </row>
    <row r="2" spans="1:7" ht="24.75" customHeight="1" thickBot="1" x14ac:dyDescent="0.25">
      <c r="A2" s="1165"/>
      <c r="B2" s="1166" t="s">
        <v>1677</v>
      </c>
      <c r="C2" s="1167"/>
      <c r="D2" s="1167"/>
      <c r="E2" s="1167"/>
      <c r="F2" s="1168"/>
      <c r="G2" s="1168"/>
    </row>
    <row r="3" spans="1:7" ht="20.25" customHeight="1" thickBot="1" x14ac:dyDescent="0.25">
      <c r="A3" s="1169" t="s">
        <v>965</v>
      </c>
      <c r="B3" s="1522" t="s">
        <v>1678</v>
      </c>
      <c r="C3" s="1523"/>
      <c r="D3" s="1170"/>
      <c r="E3" s="1170"/>
      <c r="F3" s="1168"/>
      <c r="G3" s="1168"/>
    </row>
    <row r="4" spans="1:7" ht="33" customHeight="1" x14ac:dyDescent="0.2">
      <c r="A4" s="1171" t="s">
        <v>5</v>
      </c>
      <c r="B4" s="1172" t="s">
        <v>1679</v>
      </c>
      <c r="C4" s="1335">
        <v>1180440</v>
      </c>
      <c r="D4" s="1335">
        <v>1120047</v>
      </c>
      <c r="E4" s="1335">
        <f>SUM('1.sz.mell.'!C24)</f>
        <v>526670</v>
      </c>
      <c r="F4" s="1168"/>
      <c r="G4" s="1168"/>
    </row>
    <row r="5" spans="1:7" ht="20.25" customHeight="1" thickBot="1" x14ac:dyDescent="0.25">
      <c r="A5" s="1175" t="s">
        <v>6</v>
      </c>
      <c r="B5" s="1176" t="s">
        <v>1680</v>
      </c>
      <c r="C5" s="1335"/>
      <c r="D5" s="1335">
        <v>44263</v>
      </c>
      <c r="E5" s="1336"/>
      <c r="F5" s="1168"/>
      <c r="G5" s="1168"/>
    </row>
    <row r="6" spans="1:7" ht="20.25" customHeight="1" thickBot="1" x14ac:dyDescent="0.25">
      <c r="A6" s="1515" t="s">
        <v>1681</v>
      </c>
      <c r="B6" s="1516"/>
      <c r="C6" s="1516"/>
      <c r="D6" s="1516"/>
      <c r="E6" s="1516"/>
      <c r="F6" s="1168"/>
      <c r="G6" s="1168"/>
    </row>
    <row r="7" spans="1:7" ht="20.25" customHeight="1" x14ac:dyDescent="0.2">
      <c r="A7" s="1177" t="s">
        <v>20</v>
      </c>
      <c r="B7" s="1178" t="s">
        <v>1682</v>
      </c>
      <c r="C7" s="1328">
        <f t="shared" ref="C7:D7" si="0">SUM(C8:C14)</f>
        <v>421525</v>
      </c>
      <c r="D7" s="1328">
        <f t="shared" si="0"/>
        <v>457103</v>
      </c>
      <c r="E7" s="1328">
        <f>SUM(E8:E14)</f>
        <v>447504</v>
      </c>
      <c r="F7" s="1168"/>
      <c r="G7" s="1168"/>
    </row>
    <row r="8" spans="1:7" ht="20.25" customHeight="1" x14ac:dyDescent="0.2">
      <c r="A8" s="1179"/>
      <c r="B8" s="1180" t="s">
        <v>1683</v>
      </c>
      <c r="C8" s="1186"/>
      <c r="D8" s="1186">
        <v>578</v>
      </c>
      <c r="E8" s="1186"/>
      <c r="F8" s="1168"/>
      <c r="G8" s="1168"/>
    </row>
    <row r="9" spans="1:7" ht="20.25" customHeight="1" x14ac:dyDescent="0.2">
      <c r="A9" s="1179"/>
      <c r="B9" s="1180" t="s">
        <v>1684</v>
      </c>
      <c r="C9" s="1186">
        <v>409710</v>
      </c>
      <c r="D9" s="1186">
        <v>447855</v>
      </c>
      <c r="E9" s="1186">
        <f>SUM('1.sz.mell.'!C35)</f>
        <v>442256</v>
      </c>
      <c r="F9" s="1168"/>
      <c r="G9" s="1168"/>
    </row>
    <row r="10" spans="1:7" ht="20.25" customHeight="1" x14ac:dyDescent="0.2">
      <c r="A10" s="1179"/>
      <c r="B10" s="1180" t="s">
        <v>1685</v>
      </c>
      <c r="C10" s="1186">
        <v>11815</v>
      </c>
      <c r="D10" s="1186">
        <v>8670</v>
      </c>
      <c r="E10" s="1186">
        <f>SUM('1.sz.mell.'!C39)</f>
        <v>5248</v>
      </c>
      <c r="F10" s="1168"/>
      <c r="G10" s="1168"/>
    </row>
    <row r="11" spans="1:7" ht="20.25" customHeight="1" x14ac:dyDescent="0.2">
      <c r="A11" s="1179"/>
      <c r="B11" s="1180" t="s">
        <v>1686</v>
      </c>
      <c r="C11" s="1186"/>
      <c r="D11" s="1186"/>
      <c r="E11" s="1186"/>
      <c r="F11" s="1168"/>
      <c r="G11" s="1168"/>
    </row>
    <row r="12" spans="1:7" ht="40.5" customHeight="1" x14ac:dyDescent="0.2">
      <c r="A12" s="1179"/>
      <c r="B12" s="1182" t="s">
        <v>1687</v>
      </c>
      <c r="C12" s="1186"/>
      <c r="D12" s="1186"/>
      <c r="E12" s="1186"/>
      <c r="F12" s="1168"/>
      <c r="G12" s="1168"/>
    </row>
    <row r="13" spans="1:7" ht="20.25" customHeight="1" x14ac:dyDescent="0.2">
      <c r="A13" s="1179"/>
      <c r="B13" s="1182" t="s">
        <v>1688</v>
      </c>
      <c r="C13" s="1186"/>
      <c r="D13" s="1186"/>
      <c r="E13" s="1186"/>
      <c r="F13" s="1168"/>
      <c r="G13" s="1168"/>
    </row>
    <row r="14" spans="1:7" ht="29.25" customHeight="1" x14ac:dyDescent="0.2">
      <c r="A14" s="1179"/>
      <c r="B14" s="1182" t="s">
        <v>1689</v>
      </c>
      <c r="C14" s="1186"/>
      <c r="D14" s="1186"/>
      <c r="E14" s="1186"/>
      <c r="F14" s="1168"/>
      <c r="G14" s="1168"/>
    </row>
    <row r="15" spans="1:7" ht="20.25" customHeight="1" x14ac:dyDescent="0.2">
      <c r="A15" s="1183" t="s">
        <v>150</v>
      </c>
      <c r="B15" s="1184" t="s">
        <v>202</v>
      </c>
      <c r="C15" s="1329">
        <f t="shared" ref="C15:D15" si="1">SUM(C16:C22)</f>
        <v>2113085</v>
      </c>
      <c r="D15" s="1329">
        <f t="shared" si="1"/>
        <v>1947551</v>
      </c>
      <c r="E15" s="1329">
        <f>SUM(E16:E22)</f>
        <v>1625000</v>
      </c>
      <c r="F15" s="1168"/>
      <c r="G15" s="1168"/>
    </row>
    <row r="16" spans="1:7" ht="20.25" customHeight="1" x14ac:dyDescent="0.2">
      <c r="A16" s="1183"/>
      <c r="B16" s="1185" t="s">
        <v>1690</v>
      </c>
      <c r="C16" s="1186">
        <v>2100517</v>
      </c>
      <c r="D16" s="1186">
        <v>1935555</v>
      </c>
      <c r="E16" s="1186">
        <f>SUM('1.sz.mell.'!C6+'1.sz.mell.'!C8)</f>
        <v>1615000</v>
      </c>
      <c r="F16" s="1168"/>
      <c r="G16" s="1168"/>
    </row>
    <row r="17" spans="1:7" ht="20.25" customHeight="1" x14ac:dyDescent="0.2">
      <c r="A17" s="1183"/>
      <c r="B17" s="1185" t="s">
        <v>10</v>
      </c>
      <c r="C17" s="1186"/>
      <c r="D17" s="1186"/>
      <c r="E17" s="1186">
        <f>SUM('1.sz.mell.'!C7)</f>
        <v>0</v>
      </c>
      <c r="F17" s="1168"/>
      <c r="G17" s="1168"/>
    </row>
    <row r="18" spans="1:7" ht="20.25" customHeight="1" x14ac:dyDescent="0.2">
      <c r="A18" s="1183"/>
      <c r="B18" s="1185" t="s">
        <v>1691</v>
      </c>
      <c r="C18" s="1186"/>
      <c r="D18" s="1186"/>
      <c r="E18" s="1186"/>
      <c r="F18" s="1168"/>
      <c r="G18" s="1168"/>
    </row>
    <row r="19" spans="1:7" ht="20.25" customHeight="1" x14ac:dyDescent="0.2">
      <c r="A19" s="1183"/>
      <c r="B19" s="1185" t="s">
        <v>1692</v>
      </c>
      <c r="C19" s="1186"/>
      <c r="D19" s="1186"/>
      <c r="E19" s="1186"/>
      <c r="F19" s="1168"/>
      <c r="G19" s="1168"/>
    </row>
    <row r="20" spans="1:7" ht="20.25" customHeight="1" x14ac:dyDescent="0.2">
      <c r="A20" s="1183"/>
      <c r="B20" s="1185" t="s">
        <v>1693</v>
      </c>
      <c r="C20" s="1186">
        <v>12568</v>
      </c>
      <c r="D20" s="1186">
        <v>10673</v>
      </c>
      <c r="E20" s="1186">
        <f>SUM('1.sz.mell.'!C9)</f>
        <v>10000</v>
      </c>
      <c r="F20" s="1168"/>
      <c r="G20" s="1168"/>
    </row>
    <row r="21" spans="1:7" ht="20.25" customHeight="1" x14ac:dyDescent="0.2">
      <c r="A21" s="1183"/>
      <c r="B21" s="1185" t="s">
        <v>1694</v>
      </c>
      <c r="C21" s="1186"/>
      <c r="D21" s="1186">
        <v>1323</v>
      </c>
      <c r="E21" s="1186"/>
      <c r="F21" s="1168"/>
      <c r="G21" s="1168"/>
    </row>
    <row r="22" spans="1:7" ht="20.25" customHeight="1" x14ac:dyDescent="0.2">
      <c r="A22" s="1183"/>
      <c r="B22" s="1185" t="s">
        <v>1695</v>
      </c>
      <c r="C22" s="1186"/>
      <c r="D22" s="1186"/>
      <c r="E22" s="1186"/>
      <c r="F22" s="1168"/>
      <c r="G22" s="1168"/>
    </row>
    <row r="23" spans="1:7" ht="20.25" customHeight="1" x14ac:dyDescent="0.2">
      <c r="A23" s="1183" t="s">
        <v>39</v>
      </c>
      <c r="B23" s="1184" t="s">
        <v>1696</v>
      </c>
      <c r="C23" s="1181">
        <f t="shared" ref="C23:D23" si="2">SUM(C24:C30)</f>
        <v>715900</v>
      </c>
      <c r="D23" s="1181">
        <f t="shared" si="2"/>
        <v>597076</v>
      </c>
      <c r="E23" s="1181">
        <f>SUM(E24:E30)</f>
        <v>315822</v>
      </c>
      <c r="F23" s="1168"/>
      <c r="G23" s="1168"/>
    </row>
    <row r="24" spans="1:7" ht="20.25" customHeight="1" x14ac:dyDescent="0.2">
      <c r="A24" s="1187"/>
      <c r="B24" s="1185" t="s">
        <v>1697</v>
      </c>
      <c r="C24" s="1186"/>
      <c r="D24" s="1186"/>
      <c r="E24" s="1186"/>
      <c r="F24" s="1168"/>
      <c r="G24" s="1168"/>
    </row>
    <row r="25" spans="1:7" ht="20.25" customHeight="1" x14ac:dyDescent="0.2">
      <c r="A25" s="1187"/>
      <c r="B25" s="1185" t="s">
        <v>25</v>
      </c>
      <c r="C25" s="1186">
        <v>543561</v>
      </c>
      <c r="D25" s="1186">
        <v>303243</v>
      </c>
      <c r="E25" s="1186">
        <f>SUM('1.sz.mell.'!C16)</f>
        <v>200360</v>
      </c>
      <c r="F25" s="1168"/>
      <c r="G25" s="1168"/>
    </row>
    <row r="26" spans="1:7" ht="20.25" customHeight="1" x14ac:dyDescent="0.2">
      <c r="A26" s="1187"/>
      <c r="B26" s="1185" t="s">
        <v>1698</v>
      </c>
      <c r="C26" s="1186"/>
      <c r="D26" s="1186"/>
      <c r="E26" s="1186">
        <f>SUM('1.sz.mell.'!C17)</f>
        <v>55503</v>
      </c>
      <c r="F26" s="1168"/>
      <c r="G26" s="1168"/>
    </row>
    <row r="27" spans="1:7" ht="20.25" customHeight="1" x14ac:dyDescent="0.2">
      <c r="A27" s="1187"/>
      <c r="B27" s="1185" t="s">
        <v>29</v>
      </c>
      <c r="C27" s="1186"/>
      <c r="D27" s="1186"/>
      <c r="E27" s="1186">
        <f>SUM('1.sz.mell.'!C18)</f>
        <v>2571</v>
      </c>
      <c r="F27" s="1168"/>
      <c r="G27" s="1168"/>
    </row>
    <row r="28" spans="1:7" ht="20.25" customHeight="1" x14ac:dyDescent="0.2">
      <c r="A28" s="1187"/>
      <c r="B28" s="1185" t="s">
        <v>31</v>
      </c>
      <c r="C28" s="1186"/>
      <c r="D28" s="1186"/>
      <c r="E28" s="1186">
        <f>SUM('1.sz.mell.'!C19)</f>
        <v>907</v>
      </c>
      <c r="F28" s="1168"/>
      <c r="G28" s="1168"/>
    </row>
    <row r="29" spans="1:7" ht="20.25" customHeight="1" x14ac:dyDescent="0.2">
      <c r="A29" s="1187"/>
      <c r="B29" s="1185" t="s">
        <v>1699</v>
      </c>
      <c r="C29" s="1186">
        <v>166460</v>
      </c>
      <c r="D29" s="1186">
        <v>239172</v>
      </c>
      <c r="E29" s="1186">
        <f>SUM('1.sz.mell.'!C20)</f>
        <v>56481</v>
      </c>
      <c r="F29" s="1168"/>
      <c r="G29" s="1168"/>
    </row>
    <row r="30" spans="1:7" ht="20.25" customHeight="1" x14ac:dyDescent="0.2">
      <c r="A30" s="1187"/>
      <c r="B30" s="1185" t="s">
        <v>1700</v>
      </c>
      <c r="C30" s="1186">
        <v>5879</v>
      </c>
      <c r="D30" s="1186">
        <v>54661</v>
      </c>
      <c r="E30" s="1186"/>
      <c r="F30" s="1168"/>
      <c r="G30" s="1168"/>
    </row>
    <row r="31" spans="1:7" ht="20.25" customHeight="1" x14ac:dyDescent="0.2">
      <c r="A31" s="1183" t="s">
        <v>49</v>
      </c>
      <c r="B31" s="1184" t="s">
        <v>1701</v>
      </c>
      <c r="C31" s="1186">
        <v>77673</v>
      </c>
      <c r="D31" s="1186">
        <v>19568</v>
      </c>
      <c r="E31" s="1181"/>
      <c r="F31" s="1168"/>
      <c r="G31" s="1168"/>
    </row>
    <row r="32" spans="1:7" ht="34.5" customHeight="1" x14ac:dyDescent="0.2">
      <c r="A32" s="1188" t="s">
        <v>179</v>
      </c>
      <c r="B32" s="1189" t="s">
        <v>1702</v>
      </c>
      <c r="C32" s="1503">
        <v>192327</v>
      </c>
      <c r="D32" s="1504"/>
      <c r="E32" s="1505"/>
      <c r="F32" s="1168"/>
      <c r="G32" s="1168"/>
    </row>
    <row r="33" spans="1:7" ht="34.5" customHeight="1" thickBot="1" x14ac:dyDescent="0.25">
      <c r="A33" s="1188" t="s">
        <v>75</v>
      </c>
      <c r="B33" s="1326" t="s">
        <v>1849</v>
      </c>
      <c r="C33" s="1506">
        <f t="shared" ref="C33:D33" si="3">SUM(C32+C31+C23+C15+C7+C5+C4)</f>
        <v>4700950</v>
      </c>
      <c r="D33" s="1507">
        <f t="shared" si="3"/>
        <v>4185608</v>
      </c>
      <c r="E33" s="1508">
        <f>SUM(E32+E31+E23+E15+E7+E5+E4)</f>
        <v>2914996</v>
      </c>
      <c r="F33" s="1168"/>
      <c r="G33" s="1168"/>
    </row>
    <row r="34" spans="1:7" ht="20.25" customHeight="1" thickBot="1" x14ac:dyDescent="0.25">
      <c r="A34" s="1191" t="s">
        <v>1263</v>
      </c>
      <c r="B34" s="1524" t="s">
        <v>1703</v>
      </c>
      <c r="C34" s="1525"/>
      <c r="D34" s="1170"/>
      <c r="E34" s="1170"/>
      <c r="F34" s="1168"/>
      <c r="G34" s="1168"/>
    </row>
    <row r="35" spans="1:7" ht="20.25" customHeight="1" x14ac:dyDescent="0.2">
      <c r="A35" s="1192" t="s">
        <v>5</v>
      </c>
      <c r="B35" s="1193" t="s">
        <v>1704</v>
      </c>
      <c r="C35" s="1174">
        <f t="shared" ref="C35:D35" si="4">SUM(C36:C43)</f>
        <v>0</v>
      </c>
      <c r="D35" s="1174">
        <f t="shared" si="4"/>
        <v>0</v>
      </c>
      <c r="E35" s="1174">
        <f>SUM(E36:E43)</f>
        <v>157195</v>
      </c>
      <c r="F35" s="1168"/>
      <c r="G35" s="1168"/>
    </row>
    <row r="36" spans="1:7" ht="20.25" customHeight="1" x14ac:dyDescent="0.2">
      <c r="A36" s="1183"/>
      <c r="B36" s="1180" t="s">
        <v>1683</v>
      </c>
      <c r="C36" s="1186"/>
      <c r="D36" s="1186"/>
      <c r="E36" s="1186"/>
      <c r="F36" s="1168"/>
      <c r="G36" s="1168"/>
    </row>
    <row r="37" spans="1:7" ht="20.25" customHeight="1" x14ac:dyDescent="0.2">
      <c r="A37" s="1183"/>
      <c r="B37" s="1180" t="s">
        <v>1684</v>
      </c>
      <c r="C37" s="1186"/>
      <c r="D37" s="1186"/>
      <c r="E37" s="1186"/>
      <c r="F37" s="1168"/>
      <c r="G37" s="1168"/>
    </row>
    <row r="38" spans="1:7" ht="20.25" customHeight="1" x14ac:dyDescent="0.2">
      <c r="A38" s="1183"/>
      <c r="B38" s="1180" t="s">
        <v>1685</v>
      </c>
      <c r="C38" s="1186"/>
      <c r="D38" s="1186"/>
      <c r="E38" s="1186"/>
      <c r="F38" s="1168"/>
      <c r="G38" s="1168"/>
    </row>
    <row r="39" spans="1:7" ht="20.25" customHeight="1" x14ac:dyDescent="0.2">
      <c r="A39" s="1183"/>
      <c r="B39" s="1180" t="s">
        <v>1686</v>
      </c>
      <c r="C39" s="1186"/>
      <c r="D39" s="1186"/>
      <c r="E39" s="1186"/>
      <c r="F39" s="1168"/>
      <c r="G39" s="1168"/>
    </row>
    <row r="40" spans="1:7" ht="34.5" customHeight="1" x14ac:dyDescent="0.2">
      <c r="A40" s="1183"/>
      <c r="B40" s="1182" t="s">
        <v>1687</v>
      </c>
      <c r="C40" s="1194"/>
      <c r="D40" s="1194"/>
      <c r="E40" s="1194"/>
    </row>
    <row r="41" spans="1:7" ht="20.25" customHeight="1" x14ac:dyDescent="0.2">
      <c r="A41" s="1183"/>
      <c r="B41" s="1182" t="s">
        <v>1688</v>
      </c>
      <c r="C41" s="1194"/>
      <c r="D41" s="1194"/>
      <c r="E41" s="1194"/>
    </row>
    <row r="42" spans="1:7" ht="34.5" customHeight="1" x14ac:dyDescent="0.2">
      <c r="A42" s="1183"/>
      <c r="B42" s="1182" t="s">
        <v>1689</v>
      </c>
      <c r="C42" s="1194"/>
      <c r="D42" s="1194"/>
      <c r="E42" s="1194"/>
    </row>
    <row r="43" spans="1:7" ht="25.5" customHeight="1" x14ac:dyDescent="0.2">
      <c r="A43" s="1383"/>
      <c r="B43" s="1384" t="s">
        <v>1850</v>
      </c>
      <c r="C43" s="1385"/>
      <c r="D43" s="1385"/>
      <c r="E43" s="1385">
        <f>SUM('1.sz.mell.'!C46)</f>
        <v>157195</v>
      </c>
    </row>
    <row r="44" spans="1:7" ht="20.25" customHeight="1" x14ac:dyDescent="0.2">
      <c r="A44" s="1183" t="s">
        <v>6</v>
      </c>
      <c r="B44" s="1195" t="s">
        <v>1705</v>
      </c>
      <c r="C44" s="1181">
        <f t="shared" ref="C44:D44" si="5">SUM(C45:C48)</f>
        <v>734080</v>
      </c>
      <c r="D44" s="1181">
        <f t="shared" si="5"/>
        <v>1273836</v>
      </c>
      <c r="E44" s="1181">
        <f>SUM(E45:E48)</f>
        <v>200500</v>
      </c>
    </row>
    <row r="45" spans="1:7" ht="20.25" customHeight="1" x14ac:dyDescent="0.2">
      <c r="A45" s="1183"/>
      <c r="B45" s="1182" t="s">
        <v>1706</v>
      </c>
      <c r="C45" s="1194">
        <v>1447</v>
      </c>
      <c r="D45" s="1194">
        <v>50725</v>
      </c>
      <c r="E45" s="1194">
        <f>SUM('1.sz.mell.'!C49)</f>
        <v>200000</v>
      </c>
    </row>
    <row r="46" spans="1:7" ht="20.25" customHeight="1" x14ac:dyDescent="0.2">
      <c r="A46" s="1183"/>
      <c r="B46" s="1182" t="s">
        <v>1707</v>
      </c>
      <c r="C46" s="1194">
        <v>43058</v>
      </c>
      <c r="D46" s="1194">
        <v>136</v>
      </c>
      <c r="E46" s="1194"/>
    </row>
    <row r="47" spans="1:7" ht="20.25" customHeight="1" x14ac:dyDescent="0.2">
      <c r="A47" s="1183" t="s">
        <v>20</v>
      </c>
      <c r="B47" s="1184" t="s">
        <v>1708</v>
      </c>
      <c r="C47" s="1186">
        <v>357368</v>
      </c>
      <c r="D47" s="1186">
        <v>394469</v>
      </c>
      <c r="E47" s="1186">
        <f>SUM('1.sz.mell.'!C54)</f>
        <v>500</v>
      </c>
    </row>
    <row r="48" spans="1:7" ht="33.75" customHeight="1" x14ac:dyDescent="0.2">
      <c r="A48" s="1188" t="s">
        <v>150</v>
      </c>
      <c r="B48" s="1189" t="s">
        <v>1702</v>
      </c>
      <c r="C48" s="1499">
        <v>332207</v>
      </c>
      <c r="D48" s="1190">
        <v>828506</v>
      </c>
      <c r="E48" s="1190"/>
    </row>
    <row r="49" spans="1:5" ht="22.5" customHeight="1" x14ac:dyDescent="0.2">
      <c r="A49" s="1188" t="s">
        <v>39</v>
      </c>
      <c r="B49" s="1386" t="s">
        <v>170</v>
      </c>
      <c r="C49" s="1509"/>
      <c r="D49" s="1387"/>
      <c r="E49" s="1388">
        <f>SUM('1.sz.mell.'!C55)</f>
        <v>500</v>
      </c>
    </row>
    <row r="50" spans="1:5" ht="20.25" customHeight="1" thickBot="1" x14ac:dyDescent="0.25">
      <c r="A50" s="1325"/>
      <c r="B50" s="1326" t="s">
        <v>1740</v>
      </c>
      <c r="C50" s="1327">
        <f t="shared" ref="C50:D50" si="6">SUM(C44+C35)</f>
        <v>734080</v>
      </c>
      <c r="D50" s="1327">
        <f t="shared" si="6"/>
        <v>1273836</v>
      </c>
      <c r="E50" s="1327">
        <f>SUM(E44+E35)+E49</f>
        <v>358195</v>
      </c>
    </row>
    <row r="51" spans="1:5" ht="20.25" customHeight="1" thickBot="1" x14ac:dyDescent="0.25">
      <c r="A51" s="1191" t="s">
        <v>1266</v>
      </c>
      <c r="B51" s="1524" t="s">
        <v>1709</v>
      </c>
      <c r="C51" s="1525"/>
      <c r="D51" s="1170"/>
      <c r="E51" s="1170"/>
    </row>
    <row r="52" spans="1:5" ht="40.5" customHeight="1" x14ac:dyDescent="0.2">
      <c r="A52" s="1171" t="s">
        <v>5</v>
      </c>
      <c r="B52" s="1196" t="s">
        <v>1710</v>
      </c>
      <c r="C52" s="1173"/>
      <c r="D52" s="1174"/>
      <c r="E52" s="1174"/>
    </row>
    <row r="53" spans="1:5" ht="20.25" customHeight="1" x14ac:dyDescent="0.2">
      <c r="A53" s="1179" t="s">
        <v>6</v>
      </c>
      <c r="B53" s="1182" t="s">
        <v>1711</v>
      </c>
      <c r="C53" s="1186"/>
      <c r="D53" s="1186"/>
      <c r="E53" s="1186"/>
    </row>
    <row r="54" spans="1:5" ht="20.25" customHeight="1" x14ac:dyDescent="0.2">
      <c r="A54" s="1179" t="s">
        <v>20</v>
      </c>
      <c r="B54" s="1182" t="s">
        <v>1712</v>
      </c>
      <c r="C54" s="1186">
        <v>424262</v>
      </c>
      <c r="D54" s="1186">
        <v>746818</v>
      </c>
      <c r="E54" s="1186"/>
    </row>
    <row r="55" spans="1:5" ht="20.25" customHeight="1" x14ac:dyDescent="0.2">
      <c r="A55" s="1179" t="s">
        <v>150</v>
      </c>
      <c r="B55" s="1182" t="s">
        <v>1713</v>
      </c>
      <c r="C55" s="1186"/>
      <c r="D55" s="1186"/>
      <c r="E55" s="1186"/>
    </row>
    <row r="56" spans="1:5" ht="20.25" customHeight="1" x14ac:dyDescent="0.2">
      <c r="A56" s="1179" t="s">
        <v>39</v>
      </c>
      <c r="B56" s="1197" t="s">
        <v>1714</v>
      </c>
      <c r="C56" s="1186"/>
      <c r="D56" s="1186"/>
      <c r="E56" s="1186"/>
    </row>
    <row r="57" spans="1:5" ht="20.25" customHeight="1" x14ac:dyDescent="0.2">
      <c r="A57" s="1179" t="s">
        <v>49</v>
      </c>
      <c r="B57" s="1197" t="s">
        <v>1715</v>
      </c>
      <c r="C57" s="1186"/>
      <c r="D57" s="1186"/>
      <c r="E57" s="1186"/>
    </row>
    <row r="58" spans="1:5" ht="20.25" customHeight="1" x14ac:dyDescent="0.2">
      <c r="A58" s="1198" t="s">
        <v>179</v>
      </c>
      <c r="B58" s="1199" t="s">
        <v>1716</v>
      </c>
      <c r="C58" s="1499"/>
      <c r="D58" s="1499"/>
      <c r="E58" s="1499"/>
    </row>
    <row r="59" spans="1:5" ht="20.25" customHeight="1" thickBot="1" x14ac:dyDescent="0.25">
      <c r="A59" s="1324"/>
      <c r="B59" s="1326" t="s">
        <v>1739</v>
      </c>
      <c r="C59" s="1502">
        <f t="shared" ref="C59:D59" si="7">SUM(C52:C58)</f>
        <v>424262</v>
      </c>
      <c r="D59" s="1500">
        <f t="shared" si="7"/>
        <v>746818</v>
      </c>
      <c r="E59" s="1501">
        <f>SUM(E52:E58)</f>
        <v>0</v>
      </c>
    </row>
    <row r="60" spans="1:5" ht="20.25" customHeight="1" thickBot="1" x14ac:dyDescent="0.25">
      <c r="A60" s="1191" t="s">
        <v>1267</v>
      </c>
      <c r="B60" s="1524" t="s">
        <v>1717</v>
      </c>
      <c r="C60" s="1525"/>
      <c r="D60" s="1170"/>
      <c r="E60" s="1170"/>
    </row>
    <row r="61" spans="1:5" ht="28.5" customHeight="1" x14ac:dyDescent="0.2">
      <c r="A61" s="1171" t="s">
        <v>5</v>
      </c>
      <c r="B61" s="1196" t="s">
        <v>1718</v>
      </c>
      <c r="C61" s="1173"/>
      <c r="D61" s="1174"/>
      <c r="E61" s="1174"/>
    </row>
    <row r="62" spans="1:5" ht="20.25" customHeight="1" x14ac:dyDescent="0.2">
      <c r="A62" s="1179" t="s">
        <v>6</v>
      </c>
      <c r="B62" s="1182" t="s">
        <v>1711</v>
      </c>
      <c r="C62" s="1186">
        <v>477404</v>
      </c>
      <c r="D62" s="1186">
        <v>222596</v>
      </c>
      <c r="E62" s="1186"/>
    </row>
    <row r="63" spans="1:5" ht="20.25" customHeight="1" x14ac:dyDescent="0.2">
      <c r="A63" s="1179" t="s">
        <v>20</v>
      </c>
      <c r="B63" s="1182" t="s">
        <v>1712</v>
      </c>
      <c r="C63" s="1186"/>
      <c r="D63" s="1186"/>
      <c r="E63" s="1186"/>
    </row>
    <row r="64" spans="1:5" ht="20.25" customHeight="1" x14ac:dyDescent="0.2">
      <c r="A64" s="1179" t="s">
        <v>150</v>
      </c>
      <c r="B64" s="1182" t="s">
        <v>1713</v>
      </c>
      <c r="C64" s="1186"/>
      <c r="D64" s="1186"/>
      <c r="E64" s="1186"/>
    </row>
    <row r="65" spans="1:8" ht="20.25" customHeight="1" x14ac:dyDescent="0.2">
      <c r="A65" s="1179" t="s">
        <v>39</v>
      </c>
      <c r="B65" s="1197" t="s">
        <v>1714</v>
      </c>
      <c r="C65" s="1186"/>
      <c r="D65" s="1186"/>
      <c r="E65" s="1186"/>
    </row>
    <row r="66" spans="1:8" ht="20.25" customHeight="1" x14ac:dyDescent="0.2">
      <c r="A66" s="1179" t="s">
        <v>49</v>
      </c>
      <c r="B66" s="1197" t="s">
        <v>1715</v>
      </c>
      <c r="C66" s="1186"/>
      <c r="D66" s="1186"/>
      <c r="E66" s="1186"/>
    </row>
    <row r="67" spans="1:8" ht="20.25" customHeight="1" x14ac:dyDescent="0.2">
      <c r="A67" s="1198" t="s">
        <v>179</v>
      </c>
      <c r="B67" s="1199" t="s">
        <v>1716</v>
      </c>
      <c r="C67" s="1499"/>
      <c r="D67" s="1190"/>
      <c r="E67" s="1190"/>
    </row>
    <row r="68" spans="1:8" ht="20.25" customHeight="1" thickBot="1" x14ac:dyDescent="0.25">
      <c r="A68" s="1324"/>
      <c r="B68" s="1326" t="s">
        <v>1738</v>
      </c>
      <c r="C68" s="1511">
        <f t="shared" ref="C68:D68" si="8">SUM(C61:C67)</f>
        <v>477404</v>
      </c>
      <c r="D68" s="1213">
        <f t="shared" si="8"/>
        <v>222596</v>
      </c>
      <c r="E68" s="1213">
        <f>SUM(E61:E67)</f>
        <v>0</v>
      </c>
    </row>
    <row r="69" spans="1:8" ht="30.75" customHeight="1" thickBot="1" x14ac:dyDescent="0.25">
      <c r="A69" s="1200"/>
      <c r="B69" s="1201" t="s">
        <v>1719</v>
      </c>
      <c r="C69" s="1510">
        <f t="shared" ref="C69:D69" si="9">SUM(C68+C59+C50+C32+C31+C23+C7)+C5+C4+C15</f>
        <v>6336696</v>
      </c>
      <c r="D69" s="1339">
        <f t="shared" si="9"/>
        <v>6428858</v>
      </c>
      <c r="E69" s="1339">
        <f>SUM(E68+E59+E50+E32+E31+E23+E7)+E5+E4+E15</f>
        <v>3273191</v>
      </c>
      <c r="G69" s="1164">
        <v>6336696</v>
      </c>
      <c r="H69" s="1337">
        <f>SUM(C69-G69)</f>
        <v>0</v>
      </c>
    </row>
    <row r="70" spans="1:8" ht="30" customHeight="1" thickBot="1" x14ac:dyDescent="0.25">
      <c r="A70" s="1165"/>
      <c r="B70" s="1166" t="s">
        <v>1720</v>
      </c>
      <c r="C70" s="1167"/>
      <c r="D70" s="1167"/>
      <c r="E70" s="1167"/>
    </row>
    <row r="71" spans="1:8" ht="20.25" customHeight="1" thickBot="1" x14ac:dyDescent="0.25">
      <c r="A71" s="1202" t="s">
        <v>965</v>
      </c>
      <c r="B71" s="1519" t="s">
        <v>1721</v>
      </c>
      <c r="C71" s="1520"/>
      <c r="D71" s="1520"/>
      <c r="E71" s="1520"/>
    </row>
    <row r="72" spans="1:8" ht="20.25" customHeight="1" thickBot="1" x14ac:dyDescent="0.25">
      <c r="A72" s="1515" t="s">
        <v>1681</v>
      </c>
      <c r="B72" s="1516"/>
      <c r="C72" s="1516"/>
      <c r="D72" s="1203"/>
      <c r="E72" s="1204"/>
    </row>
    <row r="73" spans="1:8" ht="20.25" customHeight="1" x14ac:dyDescent="0.2">
      <c r="A73" s="1171" t="s">
        <v>5</v>
      </c>
      <c r="B73" s="1172" t="s">
        <v>201</v>
      </c>
      <c r="C73" s="1205">
        <v>1456534</v>
      </c>
      <c r="D73" s="1205">
        <v>1452094</v>
      </c>
      <c r="E73" s="1206">
        <f>SUM('1.sz.mell.'!C80)</f>
        <v>904670</v>
      </c>
    </row>
    <row r="74" spans="1:8" ht="20.25" customHeight="1" x14ac:dyDescent="0.2">
      <c r="A74" s="1179" t="s">
        <v>6</v>
      </c>
      <c r="B74" s="1207" t="s">
        <v>106</v>
      </c>
      <c r="C74" s="1208">
        <v>374500</v>
      </c>
      <c r="D74" s="1208">
        <v>376128</v>
      </c>
      <c r="E74" s="1206">
        <f>SUM('1.sz.mell.'!C81)</f>
        <v>250657</v>
      </c>
    </row>
    <row r="75" spans="1:8" ht="20.25" customHeight="1" x14ac:dyDescent="0.2">
      <c r="A75" s="1179" t="s">
        <v>20</v>
      </c>
      <c r="B75" s="1207" t="s">
        <v>203</v>
      </c>
      <c r="C75" s="1208">
        <v>1665569</v>
      </c>
      <c r="D75" s="1208">
        <v>1683456</v>
      </c>
      <c r="E75" s="1206">
        <f>SUM('1.sz.mell.'!C82)</f>
        <v>1364695</v>
      </c>
    </row>
    <row r="76" spans="1:8" ht="20.25" customHeight="1" x14ac:dyDescent="0.2">
      <c r="A76" s="1179" t="s">
        <v>150</v>
      </c>
      <c r="B76" s="1207" t="s">
        <v>110</v>
      </c>
      <c r="C76" s="1208">
        <v>141584</v>
      </c>
      <c r="D76" s="1208">
        <v>146738</v>
      </c>
      <c r="E76" s="1206">
        <f>SUM('1.sz.mell.'!C83)</f>
        <v>40000</v>
      </c>
    </row>
    <row r="77" spans="1:8" ht="20.25" customHeight="1" x14ac:dyDescent="0.2">
      <c r="A77" s="1179" t="s">
        <v>39</v>
      </c>
      <c r="B77" s="1207" t="s">
        <v>112</v>
      </c>
      <c r="C77" s="1208">
        <v>230677</v>
      </c>
      <c r="D77" s="1208">
        <v>150543</v>
      </c>
      <c r="E77" s="1206">
        <f>SUM('1.sz.mell.'!C84)</f>
        <v>143632</v>
      </c>
    </row>
    <row r="78" spans="1:8" ht="20.25" customHeight="1" x14ac:dyDescent="0.2">
      <c r="A78" s="1179" t="s">
        <v>179</v>
      </c>
      <c r="B78" s="1207" t="s">
        <v>153</v>
      </c>
      <c r="C78" s="1210">
        <v>0</v>
      </c>
      <c r="D78" s="1210">
        <v>0</v>
      </c>
      <c r="E78" s="1206">
        <f>SUM('1.sz.mell.'!C110)</f>
        <v>20000</v>
      </c>
    </row>
    <row r="79" spans="1:8" ht="20.25" customHeight="1" x14ac:dyDescent="0.2">
      <c r="A79" s="1179" t="s">
        <v>75</v>
      </c>
      <c r="B79" s="1207" t="s">
        <v>1722</v>
      </c>
      <c r="C79" s="1212">
        <v>0</v>
      </c>
      <c r="D79" s="1208">
        <v>0</v>
      </c>
      <c r="E79" s="1206">
        <f>SUM('1.sz.mell.'!C111)</f>
        <v>143605</v>
      </c>
    </row>
    <row r="80" spans="1:8" ht="20.25" customHeight="1" thickBot="1" x14ac:dyDescent="0.25">
      <c r="A80" s="1179"/>
      <c r="B80" s="1326" t="s">
        <v>1419</v>
      </c>
      <c r="C80" s="1213">
        <f t="shared" ref="C80:D80" si="10">SUM(C73:C79)</f>
        <v>3868864</v>
      </c>
      <c r="D80" s="1213">
        <f t="shared" si="10"/>
        <v>3808959</v>
      </c>
      <c r="E80" s="1213">
        <f>SUM(E73:E79)</f>
        <v>2867259</v>
      </c>
    </row>
    <row r="81" spans="1:5" ht="15" hidden="1" customHeight="1" x14ac:dyDescent="0.2">
      <c r="A81" s="1214"/>
      <c r="B81" s="1185"/>
      <c r="C81" s="1215"/>
      <c r="D81" s="1215"/>
      <c r="E81" s="1216"/>
    </row>
    <row r="82" spans="1:5" ht="15" hidden="1" customHeight="1" x14ac:dyDescent="0.2">
      <c r="A82" s="1214"/>
      <c r="B82" s="1185"/>
      <c r="C82" s="1215"/>
      <c r="D82" s="1215"/>
      <c r="E82" s="1216"/>
    </row>
    <row r="83" spans="1:5" ht="15" hidden="1" customHeight="1" x14ac:dyDescent="0.2">
      <c r="A83" s="1214"/>
      <c r="B83" s="1185"/>
      <c r="C83" s="1215"/>
      <c r="D83" s="1215"/>
      <c r="E83" s="1216"/>
    </row>
    <row r="84" spans="1:5" ht="15" hidden="1" customHeight="1" x14ac:dyDescent="0.2">
      <c r="A84" s="1214"/>
      <c r="B84" s="1185"/>
      <c r="C84" s="1215"/>
      <c r="D84" s="1215"/>
      <c r="E84" s="1216"/>
    </row>
    <row r="85" spans="1:5" ht="15" hidden="1" customHeight="1" x14ac:dyDescent="0.2">
      <c r="A85" s="1214"/>
      <c r="B85" s="1185"/>
      <c r="C85" s="1215"/>
      <c r="D85" s="1215"/>
      <c r="E85" s="1216"/>
    </row>
    <row r="86" spans="1:5" ht="15" hidden="1" customHeight="1" x14ac:dyDescent="0.2">
      <c r="A86" s="1214"/>
      <c r="B86" s="1185"/>
      <c r="C86" s="1215"/>
      <c r="D86" s="1215"/>
      <c r="E86" s="1216"/>
    </row>
    <row r="87" spans="1:5" ht="15" hidden="1" customHeight="1" x14ac:dyDescent="0.2">
      <c r="A87" s="1214"/>
      <c r="B87" s="1185"/>
      <c r="C87" s="1215"/>
      <c r="D87" s="1215"/>
      <c r="E87" s="1216"/>
    </row>
    <row r="88" spans="1:5" ht="15" hidden="1" customHeight="1" x14ac:dyDescent="0.2">
      <c r="A88" s="1214"/>
      <c r="B88" s="1185"/>
      <c r="C88" s="1215"/>
      <c r="D88" s="1215"/>
      <c r="E88" s="1216"/>
    </row>
    <row r="89" spans="1:5" ht="15" hidden="1" customHeight="1" x14ac:dyDescent="0.2">
      <c r="A89" s="1214"/>
      <c r="B89" s="1185"/>
      <c r="C89" s="1215"/>
      <c r="D89" s="1215"/>
      <c r="E89" s="1216"/>
    </row>
    <row r="90" spans="1:5" ht="15" hidden="1" customHeight="1" x14ac:dyDescent="0.2">
      <c r="A90" s="1214"/>
      <c r="B90" s="1185"/>
      <c r="C90" s="1215"/>
      <c r="D90" s="1215"/>
      <c r="E90" s="1216"/>
    </row>
    <row r="91" spans="1:5" ht="15" hidden="1" customHeight="1" x14ac:dyDescent="0.2">
      <c r="A91" s="1214"/>
      <c r="B91" s="1185"/>
      <c r="C91" s="1215"/>
      <c r="D91" s="1215"/>
      <c r="E91" s="1216"/>
    </row>
    <row r="92" spans="1:5" ht="15" hidden="1" customHeight="1" x14ac:dyDescent="0.2">
      <c r="A92" s="1214"/>
      <c r="B92" s="1185"/>
      <c r="C92" s="1215"/>
      <c r="D92" s="1215"/>
      <c r="E92" s="1216"/>
    </row>
    <row r="93" spans="1:5" ht="15" hidden="1" customHeight="1" x14ac:dyDescent="0.2">
      <c r="A93" s="1214"/>
      <c r="B93" s="1185"/>
      <c r="C93" s="1215"/>
      <c r="D93" s="1215"/>
      <c r="E93" s="1216"/>
    </row>
    <row r="94" spans="1:5" ht="15" hidden="1" customHeight="1" x14ac:dyDescent="0.2">
      <c r="A94" s="1214"/>
      <c r="B94" s="1185"/>
      <c r="C94" s="1215"/>
      <c r="D94" s="1215"/>
      <c r="E94" s="1216"/>
    </row>
    <row r="95" spans="1:5" ht="15" hidden="1" customHeight="1" x14ac:dyDescent="0.2">
      <c r="A95" s="1214"/>
      <c r="B95" s="1185"/>
      <c r="C95" s="1215"/>
      <c r="D95" s="1215"/>
      <c r="E95" s="1216"/>
    </row>
    <row r="96" spans="1:5" ht="15" hidden="1" customHeight="1" x14ac:dyDescent="0.2">
      <c r="A96" s="1214"/>
      <c r="B96" s="1185"/>
      <c r="C96" s="1215"/>
      <c r="D96" s="1215"/>
      <c r="E96" s="1216"/>
    </row>
    <row r="97" spans="1:5" ht="15" hidden="1" customHeight="1" x14ac:dyDescent="0.2">
      <c r="A97" s="1214"/>
      <c r="B97" s="1185"/>
      <c r="C97" s="1215"/>
      <c r="D97" s="1215"/>
      <c r="E97" s="1216"/>
    </row>
    <row r="98" spans="1:5" ht="15.75" hidden="1" customHeight="1" thickBot="1" x14ac:dyDescent="0.25">
      <c r="A98" s="1217"/>
      <c r="B98" s="1218"/>
      <c r="C98" s="1215"/>
      <c r="D98" s="1215"/>
      <c r="E98" s="1216"/>
    </row>
    <row r="99" spans="1:5" ht="20.25" customHeight="1" thickBot="1" x14ac:dyDescent="0.25">
      <c r="A99" s="1219" t="s">
        <v>1263</v>
      </c>
      <c r="B99" s="1517" t="s">
        <v>1723</v>
      </c>
      <c r="C99" s="1518"/>
      <c r="D99" s="1518"/>
      <c r="E99" s="1518"/>
    </row>
    <row r="100" spans="1:5" ht="20.25" customHeight="1" x14ac:dyDescent="0.2">
      <c r="A100" s="1192" t="s">
        <v>5</v>
      </c>
      <c r="B100" s="1220" t="s">
        <v>1724</v>
      </c>
      <c r="C100" s="1221">
        <v>937920</v>
      </c>
      <c r="D100" s="1222">
        <v>1103935</v>
      </c>
      <c r="E100" s="1512">
        <f>SUM('1.sz.mell.'!C97)</f>
        <v>116000</v>
      </c>
    </row>
    <row r="101" spans="1:5" ht="20.25" customHeight="1" x14ac:dyDescent="0.2">
      <c r="A101" s="1183" t="s">
        <v>6</v>
      </c>
      <c r="B101" s="1185" t="s">
        <v>135</v>
      </c>
      <c r="C101" s="1210">
        <v>12114</v>
      </c>
      <c r="D101" s="1208">
        <v>25014</v>
      </c>
      <c r="E101" s="1514">
        <f>SUM('1.sz.mell.'!C98)</f>
        <v>25000</v>
      </c>
    </row>
    <row r="102" spans="1:5" ht="20.25" customHeight="1" x14ac:dyDescent="0.2">
      <c r="A102" s="1183" t="s">
        <v>20</v>
      </c>
      <c r="B102" s="1185" t="s">
        <v>1725</v>
      </c>
      <c r="C102" s="1210">
        <v>130263</v>
      </c>
      <c r="D102" s="1208">
        <v>30129</v>
      </c>
      <c r="E102" s="1513">
        <f>SUM('1.sz.mell.'!C103)</f>
        <v>105932</v>
      </c>
    </row>
    <row r="103" spans="1:5" ht="20.25" customHeight="1" x14ac:dyDescent="0.2">
      <c r="A103" s="1183" t="s">
        <v>150</v>
      </c>
      <c r="B103" s="1182" t="s">
        <v>153</v>
      </c>
      <c r="C103" s="1210">
        <v>0</v>
      </c>
      <c r="D103" s="1208"/>
      <c r="E103" s="1209"/>
    </row>
    <row r="104" spans="1:5" ht="20.25" customHeight="1" x14ac:dyDescent="0.2">
      <c r="A104" s="1183" t="s">
        <v>39</v>
      </c>
      <c r="B104" s="1182" t="s">
        <v>1722</v>
      </c>
      <c r="C104" s="1210">
        <v>0</v>
      </c>
      <c r="D104" s="1208"/>
      <c r="E104" s="1209">
        <f>SUM('1.sz.mell.'!C112)</f>
        <v>95000</v>
      </c>
    </row>
    <row r="105" spans="1:5" ht="20.25" customHeight="1" thickBot="1" x14ac:dyDescent="0.25">
      <c r="A105" s="1223"/>
      <c r="B105" s="1326" t="s">
        <v>2011</v>
      </c>
      <c r="C105" s="1213">
        <f>SUM(C100:C104)</f>
        <v>1080297</v>
      </c>
      <c r="D105" s="1213">
        <f>SUM(D100:D104)</f>
        <v>1159078</v>
      </c>
      <c r="E105" s="1213">
        <f>SUM(E100:E104)</f>
        <v>341932</v>
      </c>
    </row>
    <row r="106" spans="1:5" hidden="1" x14ac:dyDescent="0.2">
      <c r="A106" s="1223"/>
      <c r="B106" s="1224"/>
      <c r="C106" s="1225"/>
      <c r="D106" s="1225"/>
      <c r="E106" s="1226"/>
    </row>
    <row r="107" spans="1:5" hidden="1" x14ac:dyDescent="0.2">
      <c r="A107" s="1223"/>
      <c r="B107" s="1224"/>
      <c r="C107" s="1225"/>
      <c r="D107" s="1225"/>
      <c r="E107" s="1226"/>
    </row>
    <row r="108" spans="1:5" hidden="1" x14ac:dyDescent="0.2">
      <c r="A108" s="1223"/>
      <c r="B108" s="1224"/>
      <c r="C108" s="1225"/>
      <c r="D108" s="1225"/>
      <c r="E108" s="1226"/>
    </row>
    <row r="109" spans="1:5" hidden="1" x14ac:dyDescent="0.2">
      <c r="A109" s="1223"/>
      <c r="B109" s="1224"/>
      <c r="C109" s="1225"/>
      <c r="D109" s="1225"/>
      <c r="E109" s="1226"/>
    </row>
    <row r="110" spans="1:5" hidden="1" x14ac:dyDescent="0.2">
      <c r="A110" s="1223"/>
      <c r="B110" s="1224"/>
      <c r="C110" s="1225"/>
      <c r="D110" s="1225"/>
      <c r="E110" s="1226"/>
    </row>
    <row r="111" spans="1:5" hidden="1" x14ac:dyDescent="0.2">
      <c r="A111" s="1223"/>
      <c r="B111" s="1224"/>
      <c r="C111" s="1225"/>
      <c r="D111" s="1225"/>
      <c r="E111" s="1226"/>
    </row>
    <row r="112" spans="1:5" ht="15.75" hidden="1" thickBot="1" x14ac:dyDescent="0.25">
      <c r="A112" s="1227"/>
      <c r="B112" s="1228"/>
      <c r="C112" s="1229"/>
      <c r="D112" s="1229"/>
      <c r="E112" s="1230"/>
    </row>
    <row r="113" spans="1:5" s="1231" customFormat="1" ht="18.75" customHeight="1" thickBot="1" x14ac:dyDescent="0.25">
      <c r="A113" s="1219" t="s">
        <v>1266</v>
      </c>
      <c r="B113" s="1519" t="s">
        <v>1726</v>
      </c>
      <c r="C113" s="1520"/>
      <c r="D113" s="1520"/>
      <c r="E113" s="1520"/>
    </row>
    <row r="114" spans="1:5" ht="27.75" customHeight="1" x14ac:dyDescent="0.2">
      <c r="A114" s="1171" t="s">
        <v>5</v>
      </c>
      <c r="B114" s="1232" t="s">
        <v>1727</v>
      </c>
      <c r="C114" s="1221"/>
      <c r="D114" s="1221"/>
      <c r="E114" s="1233"/>
    </row>
    <row r="115" spans="1:5" ht="20.25" customHeight="1" x14ac:dyDescent="0.2">
      <c r="A115" s="1179" t="s">
        <v>6</v>
      </c>
      <c r="B115" s="1182" t="s">
        <v>1728</v>
      </c>
      <c r="C115" s="1210"/>
      <c r="D115" s="1210"/>
      <c r="E115" s="1211"/>
    </row>
    <row r="116" spans="1:5" ht="20.25" customHeight="1" x14ac:dyDescent="0.2">
      <c r="A116" s="1179" t="s">
        <v>20</v>
      </c>
      <c r="B116" s="1182" t="s">
        <v>1729</v>
      </c>
      <c r="C116" s="1210">
        <v>424262</v>
      </c>
      <c r="D116" s="1210">
        <v>548422</v>
      </c>
      <c r="E116" s="1211"/>
    </row>
    <row r="117" spans="1:5" ht="20.25" customHeight="1" x14ac:dyDescent="0.2">
      <c r="A117" s="1179" t="s">
        <v>150</v>
      </c>
      <c r="B117" s="1182" t="s">
        <v>1730</v>
      </c>
      <c r="C117" s="1210"/>
      <c r="D117" s="1210"/>
      <c r="E117" s="1211"/>
    </row>
    <row r="118" spans="1:5" ht="20.25" customHeight="1" x14ac:dyDescent="0.2">
      <c r="A118" s="1179" t="s">
        <v>39</v>
      </c>
      <c r="B118" s="1197" t="s">
        <v>1731</v>
      </c>
      <c r="C118" s="1210"/>
      <c r="D118" s="1210"/>
      <c r="E118" s="1211"/>
    </row>
    <row r="119" spans="1:5" ht="30" customHeight="1" x14ac:dyDescent="0.2">
      <c r="A119" s="1179" t="s">
        <v>49</v>
      </c>
      <c r="B119" s="1197" t="s">
        <v>1732</v>
      </c>
      <c r="C119" s="1210"/>
      <c r="D119" s="1210"/>
      <c r="E119" s="1211"/>
    </row>
    <row r="120" spans="1:5" ht="20.25" customHeight="1" x14ac:dyDescent="0.2">
      <c r="A120" s="1198" t="s">
        <v>179</v>
      </c>
      <c r="B120" s="1199" t="s">
        <v>1733</v>
      </c>
      <c r="C120" s="1234"/>
      <c r="D120" s="1234"/>
      <c r="E120" s="1235"/>
    </row>
    <row r="121" spans="1:5" ht="20.25" customHeight="1" thickBot="1" x14ac:dyDescent="0.25">
      <c r="A121" s="1324"/>
      <c r="B121" s="1326" t="s">
        <v>1741</v>
      </c>
      <c r="C121" s="1213">
        <f t="shared" ref="C121:D121" si="11">SUM(C114:C120)</f>
        <v>424262</v>
      </c>
      <c r="D121" s="1213">
        <f t="shared" si="11"/>
        <v>548422</v>
      </c>
      <c r="E121" s="1213">
        <f>SUM(E114:E120)</f>
        <v>0</v>
      </c>
    </row>
    <row r="122" spans="1:5" s="1231" customFormat="1" ht="16.5" thickBot="1" x14ac:dyDescent="0.25">
      <c r="A122" s="1219" t="s">
        <v>1267</v>
      </c>
      <c r="B122" s="1521" t="s">
        <v>1734</v>
      </c>
      <c r="C122" s="1522"/>
      <c r="D122" s="1522"/>
      <c r="E122" s="1523"/>
    </row>
    <row r="123" spans="1:5" ht="33" customHeight="1" x14ac:dyDescent="0.2">
      <c r="A123" s="1171" t="s">
        <v>5</v>
      </c>
      <c r="B123" s="1232" t="s">
        <v>1727</v>
      </c>
      <c r="C123" s="1221"/>
      <c r="D123" s="1221">
        <v>57762</v>
      </c>
      <c r="E123" s="1233"/>
    </row>
    <row r="124" spans="1:5" ht="20.25" customHeight="1" x14ac:dyDescent="0.2">
      <c r="A124" s="1179" t="s">
        <v>6</v>
      </c>
      <c r="B124" s="1196" t="s">
        <v>1728</v>
      </c>
      <c r="C124" s="1210">
        <v>65446</v>
      </c>
      <c r="D124" s="1210">
        <v>5414</v>
      </c>
      <c r="E124" s="1211">
        <v>64000</v>
      </c>
    </row>
    <row r="125" spans="1:5" ht="20.25" customHeight="1" x14ac:dyDescent="0.2">
      <c r="A125" s="1179" t="s">
        <v>20</v>
      </c>
      <c r="B125" s="1182" t="s">
        <v>1729</v>
      </c>
      <c r="C125" s="1210"/>
      <c r="D125" s="1210"/>
      <c r="E125" s="1211"/>
    </row>
    <row r="126" spans="1:5" ht="20.25" customHeight="1" x14ac:dyDescent="0.2">
      <c r="A126" s="1179" t="s">
        <v>150</v>
      </c>
      <c r="B126" s="1182" t="s">
        <v>1730</v>
      </c>
      <c r="C126" s="1210"/>
      <c r="D126" s="1210"/>
      <c r="E126" s="1211"/>
    </row>
    <row r="127" spans="1:5" ht="20.25" customHeight="1" x14ac:dyDescent="0.2">
      <c r="A127" s="1179" t="s">
        <v>39</v>
      </c>
      <c r="B127" s="1197" t="s">
        <v>1731</v>
      </c>
      <c r="C127" s="1210"/>
      <c r="D127" s="1210"/>
      <c r="E127" s="1211"/>
    </row>
    <row r="128" spans="1:5" ht="30" x14ac:dyDescent="0.2">
      <c r="A128" s="1179" t="s">
        <v>49</v>
      </c>
      <c r="B128" s="1197" t="s">
        <v>1732</v>
      </c>
      <c r="C128" s="1210"/>
      <c r="D128" s="1210"/>
      <c r="E128" s="1211"/>
    </row>
    <row r="129" spans="1:8" ht="20.25" customHeight="1" thickBot="1" x14ac:dyDescent="0.25">
      <c r="A129" s="1198" t="s">
        <v>179</v>
      </c>
      <c r="B129" s="1199" t="s">
        <v>1733</v>
      </c>
      <c r="C129" s="1236"/>
      <c r="D129" s="1236"/>
      <c r="E129" s="1237"/>
    </row>
    <row r="130" spans="1:8" ht="20.25" customHeight="1" thickBot="1" x14ac:dyDescent="0.25">
      <c r="A130" s="1324"/>
      <c r="B130" s="1326" t="s">
        <v>1737</v>
      </c>
      <c r="C130" s="1213">
        <f t="shared" ref="C130:E130" si="12">SUM(C123:C129)</f>
        <v>65446</v>
      </c>
      <c r="D130" s="1213">
        <f t="shared" si="12"/>
        <v>63176</v>
      </c>
      <c r="E130" s="1213">
        <f t="shared" si="12"/>
        <v>64000</v>
      </c>
    </row>
    <row r="131" spans="1:8" ht="32.25" customHeight="1" thickBot="1" x14ac:dyDescent="0.25">
      <c r="A131" s="1200"/>
      <c r="B131" s="1201" t="s">
        <v>1735</v>
      </c>
      <c r="C131" s="1510">
        <f>SUM(C105+C80+C130)+C121</f>
        <v>5438869</v>
      </c>
      <c r="D131" s="1339">
        <f>SUM(D105+D80+D130)+D121</f>
        <v>5579635</v>
      </c>
      <c r="E131" s="1339">
        <f>SUM(E105+E80+E130)</f>
        <v>3273191</v>
      </c>
      <c r="H131" s="1337"/>
    </row>
    <row r="134" spans="1:8" x14ac:dyDescent="0.2">
      <c r="C134" s="1338"/>
      <c r="D134" s="1338"/>
      <c r="E134" s="1338"/>
    </row>
  </sheetData>
  <mergeCells count="10">
    <mergeCell ref="A72:C72"/>
    <mergeCell ref="B99:E99"/>
    <mergeCell ref="B113:E113"/>
    <mergeCell ref="B122:E122"/>
    <mergeCell ref="B3:C3"/>
    <mergeCell ref="A6:E6"/>
    <mergeCell ref="B34:C34"/>
    <mergeCell ref="B51:C51"/>
    <mergeCell ref="B60:C60"/>
    <mergeCell ref="B71:E71"/>
  </mergeCells>
  <printOptions horizontalCentered="1"/>
  <pageMargins left="0.31496062992125984" right="0.31496062992125984" top="0.6692913385826772" bottom="0.27559055118110237" header="0.23622047244094491" footer="0.15748031496062992"/>
  <pageSetup paperSize="9" firstPageNumber="32" orientation="landscape" useFirstPageNumber="1" r:id="rId1"/>
  <headerFooter>
    <oddHeader>&amp;C&amp;16Vecsés Város Önkormányzat 2013. évi összevont mérlege&amp;R&amp;"Times New Roman,Normál"&amp;12 I. számú melléklet
Ezer Forint</oddHeader>
    <oddFooter>&amp;C- &amp;P -</oddFooter>
  </headerFooter>
  <rowBreaks count="4" manualBreakCount="4">
    <brk id="22" max="4" man="1"/>
    <brk id="43" max="4" man="1"/>
    <brk id="64" max="4" man="1"/>
    <brk id="11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view="pageBreakPreview" topLeftCell="A35" zoomScale="110" zoomScaleSheetLayoutView="110" workbookViewId="0">
      <selection activeCell="I96" sqref="I96"/>
    </sheetView>
  </sheetViews>
  <sheetFormatPr defaultRowHeight="12.75" x14ac:dyDescent="0.2"/>
  <cols>
    <col min="1" max="1" width="2.5" style="286" customWidth="1"/>
    <col min="2" max="2" width="4.1640625" style="287" customWidth="1"/>
    <col min="3" max="3" width="4" style="287" customWidth="1"/>
    <col min="4" max="4" width="63.83203125" style="286" customWidth="1"/>
    <col min="5" max="5" width="15.83203125" style="286" customWidth="1"/>
    <col min="6" max="6" width="15.83203125" style="286" hidden="1" customWidth="1"/>
    <col min="7" max="7" width="15" style="286" hidden="1" customWidth="1"/>
    <col min="8" max="8" width="8.33203125" style="286" hidden="1" customWidth="1"/>
    <col min="9" max="16384" width="9.33203125" style="286"/>
  </cols>
  <sheetData>
    <row r="1" spans="1:8" ht="48" customHeight="1" x14ac:dyDescent="0.2">
      <c r="A1" s="1593" t="s">
        <v>326</v>
      </c>
      <c r="B1" s="1593"/>
      <c r="C1" s="1593"/>
      <c r="D1" s="288" t="s">
        <v>264</v>
      </c>
      <c r="E1" s="289" t="s">
        <v>1489</v>
      </c>
      <c r="F1" s="289" t="s">
        <v>1436</v>
      </c>
      <c r="G1" s="289" t="s">
        <v>1434</v>
      </c>
      <c r="H1" s="289" t="s">
        <v>3</v>
      </c>
    </row>
    <row r="2" spans="1:8" ht="18.75" x14ac:dyDescent="0.3">
      <c r="A2" s="290"/>
      <c r="B2" s="291"/>
      <c r="C2" s="292"/>
      <c r="D2" s="293" t="s">
        <v>327</v>
      </c>
      <c r="E2" s="294"/>
      <c r="F2" s="294"/>
      <c r="G2" s="294"/>
      <c r="H2" s="294"/>
    </row>
    <row r="3" spans="1:8" ht="19.5" customHeight="1" x14ac:dyDescent="0.25">
      <c r="A3" s="1594" t="s">
        <v>328</v>
      </c>
      <c r="B3" s="1594"/>
      <c r="C3" s="1594"/>
      <c r="D3" s="1594"/>
      <c r="E3" s="295"/>
      <c r="F3" s="295"/>
      <c r="G3" s="295"/>
      <c r="H3" s="295"/>
    </row>
    <row r="4" spans="1:8" s="301" customFormat="1" ht="16.5" x14ac:dyDescent="0.25">
      <c r="A4" s="296"/>
      <c r="B4" s="297" t="s">
        <v>103</v>
      </c>
      <c r="C4" s="298"/>
      <c r="D4" s="299" t="s">
        <v>329</v>
      </c>
      <c r="E4" s="300">
        <f>SUM(E5+E7+E15+E25+E26+E27+E28)</f>
        <v>77679</v>
      </c>
      <c r="F4" s="300">
        <f>SUM(F5+F7+F15+F25+F26+F27+F28)</f>
        <v>0</v>
      </c>
      <c r="G4" s="300">
        <f>SUM(G5+G7+G15+G25+G26+G27+G28)</f>
        <v>0</v>
      </c>
      <c r="H4" s="300" t="e">
        <f>G4/F4*100</f>
        <v>#DIV/0!</v>
      </c>
    </row>
    <row r="5" spans="1:8" s="307" customFormat="1" ht="15" x14ac:dyDescent="0.25">
      <c r="A5" s="302"/>
      <c r="B5" s="303" t="s">
        <v>186</v>
      </c>
      <c r="C5" s="304"/>
      <c r="D5" s="305" t="s">
        <v>330</v>
      </c>
      <c r="E5" s="306">
        <f>E6</f>
        <v>0</v>
      </c>
      <c r="F5" s="306">
        <f>F6</f>
        <v>0</v>
      </c>
      <c r="G5" s="306">
        <f>G6</f>
        <v>0</v>
      </c>
      <c r="H5" s="306"/>
    </row>
    <row r="6" spans="1:8" s="311" customFormat="1" ht="15" customHeight="1" x14ac:dyDescent="0.25">
      <c r="A6" s="308"/>
      <c r="B6" s="1595" t="s">
        <v>331</v>
      </c>
      <c r="C6" s="1595"/>
      <c r="D6" s="309" t="s">
        <v>332</v>
      </c>
      <c r="E6" s="310"/>
      <c r="F6" s="310"/>
      <c r="G6" s="310"/>
      <c r="H6" s="310"/>
    </row>
    <row r="7" spans="1:8" s="307" customFormat="1" ht="15" x14ac:dyDescent="0.25">
      <c r="A7" s="302"/>
      <c r="B7" s="303" t="s">
        <v>188</v>
      </c>
      <c r="C7" s="304"/>
      <c r="D7" s="305" t="s">
        <v>333</v>
      </c>
      <c r="E7" s="306">
        <f>E8+E9</f>
        <v>15400</v>
      </c>
      <c r="F7" s="306">
        <f>F8+F9</f>
        <v>0</v>
      </c>
      <c r="G7" s="306">
        <f>G8+G9</f>
        <v>0</v>
      </c>
      <c r="H7" s="306" t="e">
        <f t="shared" ref="H7:H70" si="0">G7/F7*100</f>
        <v>#DIV/0!</v>
      </c>
    </row>
    <row r="8" spans="1:8" ht="15" customHeight="1" x14ac:dyDescent="0.25">
      <c r="A8" s="308"/>
      <c r="B8" s="1596" t="s">
        <v>334</v>
      </c>
      <c r="C8" s="1596"/>
      <c r="D8" s="309" t="s">
        <v>335</v>
      </c>
      <c r="E8" s="310"/>
      <c r="F8" s="310"/>
      <c r="G8" s="310"/>
      <c r="H8" s="310"/>
    </row>
    <row r="9" spans="1:8" s="307" customFormat="1" ht="15" customHeight="1" x14ac:dyDescent="0.25">
      <c r="A9" s="302"/>
      <c r="B9" s="1597" t="s">
        <v>336</v>
      </c>
      <c r="C9" s="1597"/>
      <c r="D9" s="313" t="s">
        <v>337</v>
      </c>
      <c r="E9" s="314">
        <f>SUM(E10:E14)</f>
        <v>15400</v>
      </c>
      <c r="F9" s="314">
        <f>SUM(F10:F14)</f>
        <v>0</v>
      </c>
      <c r="G9" s="314">
        <f>SUM(G10:G14)</f>
        <v>0</v>
      </c>
      <c r="H9" s="314" t="e">
        <f t="shared" si="0"/>
        <v>#DIV/0!</v>
      </c>
    </row>
    <row r="10" spans="1:8" s="315" customFormat="1" ht="15" customHeight="1" x14ac:dyDescent="0.25">
      <c r="A10" s="308"/>
      <c r="B10" s="1598" t="s">
        <v>338</v>
      </c>
      <c r="C10" s="1598"/>
      <c r="D10" s="309" t="s">
        <v>339</v>
      </c>
      <c r="E10" s="310">
        <v>10000</v>
      </c>
      <c r="F10" s="310"/>
      <c r="G10" s="310"/>
      <c r="H10" s="310" t="e">
        <f t="shared" si="0"/>
        <v>#DIV/0!</v>
      </c>
    </row>
    <row r="11" spans="1:8" s="315" customFormat="1" ht="15" customHeight="1" x14ac:dyDescent="0.25">
      <c r="A11" s="308"/>
      <c r="B11" s="1598" t="s">
        <v>340</v>
      </c>
      <c r="C11" s="1598"/>
      <c r="D11" s="309" t="s">
        <v>341</v>
      </c>
      <c r="E11" s="310">
        <v>900</v>
      </c>
      <c r="F11" s="310"/>
      <c r="G11" s="310"/>
      <c r="H11" s="310"/>
    </row>
    <row r="12" spans="1:8" s="315" customFormat="1" ht="15" customHeight="1" x14ac:dyDescent="0.25">
      <c r="A12" s="308"/>
      <c r="B12" s="1598" t="s">
        <v>342</v>
      </c>
      <c r="C12" s="1598"/>
      <c r="D12" s="309" t="s">
        <v>343</v>
      </c>
      <c r="E12" s="310">
        <v>3000</v>
      </c>
      <c r="F12" s="310"/>
      <c r="G12" s="310"/>
      <c r="H12" s="310" t="e">
        <f t="shared" si="0"/>
        <v>#DIV/0!</v>
      </c>
    </row>
    <row r="13" spans="1:8" s="315" customFormat="1" ht="15" customHeight="1" x14ac:dyDescent="0.25">
      <c r="A13" s="308"/>
      <c r="B13" s="1598" t="s">
        <v>344</v>
      </c>
      <c r="C13" s="1598"/>
      <c r="D13" s="309" t="s">
        <v>345</v>
      </c>
      <c r="E13" s="1017">
        <v>1500</v>
      </c>
      <c r="F13" s="310"/>
      <c r="G13" s="310"/>
      <c r="H13" s="310" t="e">
        <f t="shared" si="0"/>
        <v>#DIV/0!</v>
      </c>
    </row>
    <row r="14" spans="1:8" s="315" customFormat="1" ht="15" customHeight="1" x14ac:dyDescent="0.25">
      <c r="A14" s="308"/>
      <c r="B14" s="1598" t="s">
        <v>346</v>
      </c>
      <c r="C14" s="1598"/>
      <c r="D14" s="309" t="s">
        <v>347</v>
      </c>
      <c r="E14" s="310"/>
      <c r="F14" s="310"/>
      <c r="G14" s="310"/>
      <c r="H14" s="310" t="e">
        <f t="shared" si="0"/>
        <v>#DIV/0!</v>
      </c>
    </row>
    <row r="15" spans="1:8" s="307" customFormat="1" ht="15" x14ac:dyDescent="0.25">
      <c r="A15" s="302"/>
      <c r="B15" s="303" t="s">
        <v>348</v>
      </c>
      <c r="C15" s="304"/>
      <c r="D15" s="305" t="s">
        <v>349</v>
      </c>
      <c r="E15" s="306">
        <f>E16+E24</f>
        <v>50803</v>
      </c>
      <c r="F15" s="306">
        <f>F16+F24</f>
        <v>0</v>
      </c>
      <c r="G15" s="306">
        <f>G16+G24</f>
        <v>0</v>
      </c>
      <c r="H15" s="306" t="e">
        <f t="shared" si="0"/>
        <v>#DIV/0!</v>
      </c>
    </row>
    <row r="16" spans="1:8" s="307" customFormat="1" ht="15" x14ac:dyDescent="0.25">
      <c r="A16" s="302"/>
      <c r="B16" s="316" t="s">
        <v>350</v>
      </c>
      <c r="C16" s="317"/>
      <c r="D16" s="313" t="s">
        <v>1491</v>
      </c>
      <c r="E16" s="314">
        <f>SUM(E17,E23)</f>
        <v>49503</v>
      </c>
      <c r="F16" s="314">
        <f>SUM(F17,F23)</f>
        <v>0</v>
      </c>
      <c r="G16" s="314">
        <f>SUM(G17,G23)</f>
        <v>0</v>
      </c>
      <c r="H16" s="314" t="e">
        <f t="shared" si="0"/>
        <v>#DIV/0!</v>
      </c>
    </row>
    <row r="17" spans="1:8" ht="15" customHeight="1" x14ac:dyDescent="0.25">
      <c r="A17" s="308"/>
      <c r="B17" s="1596" t="s">
        <v>351</v>
      </c>
      <c r="C17" s="1596"/>
      <c r="D17" s="313" t="s">
        <v>352</v>
      </c>
      <c r="E17" s="314">
        <f>SUM(E18:E23)</f>
        <v>49503</v>
      </c>
      <c r="F17" s="314">
        <f>SUM(F18:F21)</f>
        <v>0</v>
      </c>
      <c r="G17" s="314">
        <f>SUM(G18:G21)</f>
        <v>0</v>
      </c>
      <c r="H17" s="314" t="e">
        <f t="shared" si="0"/>
        <v>#DIV/0!</v>
      </c>
    </row>
    <row r="18" spans="1:8" ht="15" customHeight="1" x14ac:dyDescent="0.25">
      <c r="A18" s="308"/>
      <c r="B18" s="1599" t="s">
        <v>353</v>
      </c>
      <c r="C18" s="1599"/>
      <c r="D18" s="309" t="s">
        <v>354</v>
      </c>
      <c r="E18" s="310">
        <v>7000</v>
      </c>
      <c r="F18" s="310"/>
      <c r="G18" s="310"/>
      <c r="H18" s="310" t="e">
        <f t="shared" si="0"/>
        <v>#DIV/0!</v>
      </c>
    </row>
    <row r="19" spans="1:8" ht="15" customHeight="1" x14ac:dyDescent="0.25">
      <c r="A19" s="308"/>
      <c r="B19" s="1599" t="s">
        <v>355</v>
      </c>
      <c r="C19" s="1599"/>
      <c r="D19" s="309" t="s">
        <v>1492</v>
      </c>
      <c r="E19" s="310">
        <v>40497</v>
      </c>
      <c r="F19" s="310"/>
      <c r="G19" s="310"/>
      <c r="H19" s="310" t="e">
        <f t="shared" si="0"/>
        <v>#DIV/0!</v>
      </c>
    </row>
    <row r="20" spans="1:8" ht="15" customHeight="1" x14ac:dyDescent="0.25">
      <c r="A20" s="308"/>
      <c r="B20" s="1599" t="s">
        <v>357</v>
      </c>
      <c r="C20" s="1599"/>
      <c r="D20" s="309" t="s">
        <v>1521</v>
      </c>
      <c r="E20" s="310">
        <v>1000</v>
      </c>
      <c r="F20" s="310"/>
      <c r="G20" s="310"/>
      <c r="H20" s="310"/>
    </row>
    <row r="21" spans="1:8" ht="15" customHeight="1" x14ac:dyDescent="0.25">
      <c r="A21" s="308"/>
      <c r="B21" s="1599" t="s">
        <v>1518</v>
      </c>
      <c r="C21" s="1599"/>
      <c r="D21" s="309" t="s">
        <v>1522</v>
      </c>
      <c r="E21" s="310">
        <v>150</v>
      </c>
      <c r="F21" s="310"/>
      <c r="G21" s="310"/>
      <c r="H21" s="310"/>
    </row>
    <row r="22" spans="1:8" ht="15" customHeight="1" x14ac:dyDescent="0.25">
      <c r="A22" s="308"/>
      <c r="B22" s="1599" t="s">
        <v>1519</v>
      </c>
      <c r="C22" s="1599"/>
      <c r="D22" s="309" t="s">
        <v>1523</v>
      </c>
      <c r="E22" s="310">
        <v>856</v>
      </c>
      <c r="F22" s="310"/>
      <c r="G22" s="310"/>
      <c r="H22" s="310"/>
    </row>
    <row r="23" spans="1:8" ht="15" x14ac:dyDescent="0.25">
      <c r="A23" s="308"/>
      <c r="B23" s="1599" t="s">
        <v>1520</v>
      </c>
      <c r="C23" s="1599"/>
      <c r="D23" s="313"/>
      <c r="E23" s="314">
        <v>0</v>
      </c>
      <c r="F23" s="314">
        <v>0</v>
      </c>
      <c r="G23" s="314">
        <v>0</v>
      </c>
      <c r="H23" s="314"/>
    </row>
    <row r="24" spans="1:8" ht="15" x14ac:dyDescent="0.25">
      <c r="A24" s="302"/>
      <c r="B24" s="303" t="s">
        <v>359</v>
      </c>
      <c r="C24" s="317"/>
      <c r="D24" s="313" t="s">
        <v>1473</v>
      </c>
      <c r="E24" s="314">
        <v>1300</v>
      </c>
      <c r="F24" s="314"/>
      <c r="G24" s="314"/>
      <c r="H24" s="314" t="e">
        <f t="shared" si="0"/>
        <v>#DIV/0!</v>
      </c>
    </row>
    <row r="25" spans="1:8" s="307" customFormat="1" ht="15" x14ac:dyDescent="0.25">
      <c r="A25" s="302"/>
      <c r="B25" s="303" t="s">
        <v>360</v>
      </c>
      <c r="C25" s="304"/>
      <c r="D25" s="305" t="s">
        <v>361</v>
      </c>
      <c r="E25" s="306"/>
      <c r="F25" s="306"/>
      <c r="G25" s="306"/>
      <c r="H25" s="306"/>
    </row>
    <row r="26" spans="1:8" s="307" customFormat="1" ht="15" x14ac:dyDescent="0.25">
      <c r="A26" s="302"/>
      <c r="B26" s="303" t="s">
        <v>362</v>
      </c>
      <c r="C26" s="304"/>
      <c r="D26" s="305" t="s">
        <v>363</v>
      </c>
      <c r="E26" s="306">
        <v>11476</v>
      </c>
      <c r="F26" s="306"/>
      <c r="G26" s="306"/>
      <c r="H26" s="306" t="e">
        <f t="shared" si="0"/>
        <v>#DIV/0!</v>
      </c>
    </row>
    <row r="27" spans="1:8" s="307" customFormat="1" ht="15" x14ac:dyDescent="0.25">
      <c r="A27" s="302"/>
      <c r="B27" s="303" t="s">
        <v>364</v>
      </c>
      <c r="C27" s="304"/>
      <c r="D27" s="305" t="s">
        <v>365</v>
      </c>
      <c r="E27" s="306"/>
      <c r="F27" s="306"/>
      <c r="G27" s="306"/>
      <c r="H27" s="306"/>
    </row>
    <row r="28" spans="1:8" s="307" customFormat="1" ht="15" x14ac:dyDescent="0.25">
      <c r="A28" s="302"/>
      <c r="B28" s="303" t="s">
        <v>366</v>
      </c>
      <c r="C28" s="304"/>
      <c r="D28" s="305" t="s">
        <v>367</v>
      </c>
      <c r="E28" s="306"/>
      <c r="F28" s="306"/>
      <c r="G28" s="306"/>
      <c r="H28" s="306"/>
    </row>
    <row r="29" spans="1:8" s="301" customFormat="1" ht="16.5" x14ac:dyDescent="0.25">
      <c r="A29" s="296"/>
      <c r="B29" s="297" t="s">
        <v>105</v>
      </c>
      <c r="C29" s="298"/>
      <c r="D29" s="299" t="s">
        <v>202</v>
      </c>
      <c r="E29" s="300">
        <f>SUM(E30+E37+E42+E43+E44+E45)</f>
        <v>1625000</v>
      </c>
      <c r="F29" s="300">
        <f>SUM(F30+F37+F42+F43+F44+F45)</f>
        <v>0</v>
      </c>
      <c r="G29" s="300">
        <f>SUM(G30+G37+G42+G43+G44+G45)</f>
        <v>0</v>
      </c>
      <c r="H29" s="300" t="e">
        <f t="shared" si="0"/>
        <v>#DIV/0!</v>
      </c>
    </row>
    <row r="30" spans="1:8" s="307" customFormat="1" ht="15" x14ac:dyDescent="0.25">
      <c r="A30" s="302"/>
      <c r="B30" s="303" t="s">
        <v>191</v>
      </c>
      <c r="C30" s="304"/>
      <c r="D30" s="305" t="s">
        <v>8</v>
      </c>
      <c r="E30" s="306">
        <f>SUM(E31:E36)</f>
        <v>1525000</v>
      </c>
      <c r="F30" s="306">
        <f>SUM(F31:F36)</f>
        <v>0</v>
      </c>
      <c r="G30" s="306">
        <f>SUM(G31:G36)</f>
        <v>0</v>
      </c>
      <c r="H30" s="306" t="e">
        <f t="shared" si="0"/>
        <v>#DIV/0!</v>
      </c>
    </row>
    <row r="31" spans="1:8" ht="15" customHeight="1" x14ac:dyDescent="0.25">
      <c r="A31" s="308"/>
      <c r="B31" s="1596" t="s">
        <v>368</v>
      </c>
      <c r="C31" s="1596"/>
      <c r="D31" s="309" t="s">
        <v>369</v>
      </c>
      <c r="E31" s="1017">
        <v>260000</v>
      </c>
      <c r="F31" s="310"/>
      <c r="G31" s="310"/>
      <c r="H31" s="310" t="e">
        <f t="shared" si="0"/>
        <v>#DIV/0!</v>
      </c>
    </row>
    <row r="32" spans="1:8" ht="15" customHeight="1" x14ac:dyDescent="0.25">
      <c r="A32" s="308"/>
      <c r="B32" s="1596" t="s">
        <v>370</v>
      </c>
      <c r="C32" s="1596"/>
      <c r="D32" s="309" t="s">
        <v>371</v>
      </c>
      <c r="E32" s="1017">
        <v>1250000</v>
      </c>
      <c r="F32" s="310"/>
      <c r="G32" s="310"/>
      <c r="H32" s="310" t="e">
        <f t="shared" si="0"/>
        <v>#DIV/0!</v>
      </c>
    </row>
    <row r="33" spans="1:8" ht="15" customHeight="1" x14ac:dyDescent="0.25">
      <c r="A33" s="308"/>
      <c r="B33" s="1596" t="s">
        <v>372</v>
      </c>
      <c r="C33" s="1596"/>
      <c r="D33" s="309" t="s">
        <v>373</v>
      </c>
      <c r="E33" s="1024"/>
      <c r="F33" s="320"/>
      <c r="G33" s="320"/>
      <c r="H33" s="320"/>
    </row>
    <row r="34" spans="1:8" ht="15" customHeight="1" x14ac:dyDescent="0.25">
      <c r="A34" s="308"/>
      <c r="B34" s="1596" t="s">
        <v>374</v>
      </c>
      <c r="C34" s="1596"/>
      <c r="D34" s="309" t="s">
        <v>375</v>
      </c>
      <c r="E34" s="1017"/>
      <c r="F34" s="310"/>
      <c r="G34" s="310"/>
      <c r="H34" s="310"/>
    </row>
    <row r="35" spans="1:8" ht="15" customHeight="1" x14ac:dyDescent="0.25">
      <c r="A35" s="308"/>
      <c r="B35" s="1596" t="s">
        <v>376</v>
      </c>
      <c r="C35" s="1596"/>
      <c r="D35" s="309" t="s">
        <v>377</v>
      </c>
      <c r="E35" s="1017">
        <v>10000</v>
      </c>
      <c r="F35" s="310"/>
      <c r="G35" s="310"/>
      <c r="H35" s="310" t="e">
        <f t="shared" si="0"/>
        <v>#DIV/0!</v>
      </c>
    </row>
    <row r="36" spans="1:8" ht="15" customHeight="1" x14ac:dyDescent="0.25">
      <c r="A36" s="308"/>
      <c r="B36" s="1596" t="s">
        <v>378</v>
      </c>
      <c r="C36" s="1596"/>
      <c r="D36" s="309" t="s">
        <v>379</v>
      </c>
      <c r="E36" s="1017">
        <v>5000</v>
      </c>
      <c r="F36" s="310"/>
      <c r="G36" s="310"/>
      <c r="H36" s="310" t="e">
        <f t="shared" si="0"/>
        <v>#DIV/0!</v>
      </c>
    </row>
    <row r="37" spans="1:8" s="307" customFormat="1" ht="15" x14ac:dyDescent="0.25">
      <c r="A37" s="302"/>
      <c r="B37" s="303" t="s">
        <v>193</v>
      </c>
      <c r="C37" s="304"/>
      <c r="D37" s="305" t="s">
        <v>12</v>
      </c>
      <c r="E37" s="1025">
        <f>SUM(E38:E41)</f>
        <v>100000</v>
      </c>
      <c r="F37" s="306">
        <f>SUM(F38:F41)</f>
        <v>0</v>
      </c>
      <c r="G37" s="306">
        <f>SUM(G38:G41)</f>
        <v>0</v>
      </c>
      <c r="H37" s="306" t="e">
        <f t="shared" si="0"/>
        <v>#DIV/0!</v>
      </c>
    </row>
    <row r="38" spans="1:8" ht="15" customHeight="1" x14ac:dyDescent="0.25">
      <c r="A38" s="308"/>
      <c r="B38" s="1596" t="s">
        <v>380</v>
      </c>
      <c r="C38" s="1596"/>
      <c r="D38" s="309" t="s">
        <v>1618</v>
      </c>
      <c r="E38" s="1017">
        <v>100000</v>
      </c>
      <c r="F38" s="310"/>
      <c r="G38" s="310"/>
      <c r="H38" s="310" t="e">
        <f t="shared" si="0"/>
        <v>#DIV/0!</v>
      </c>
    </row>
    <row r="39" spans="1:8" ht="15" hidden="1" customHeight="1" x14ac:dyDescent="0.25">
      <c r="A39" s="290"/>
      <c r="B39" s="1596" t="s">
        <v>381</v>
      </c>
      <c r="C39" s="1596"/>
      <c r="D39" s="309" t="s">
        <v>382</v>
      </c>
      <c r="E39" s="1017"/>
      <c r="F39" s="310"/>
      <c r="G39" s="310"/>
      <c r="H39" s="310" t="e">
        <f t="shared" si="0"/>
        <v>#DIV/0!</v>
      </c>
    </row>
    <row r="40" spans="1:8" ht="15" hidden="1" customHeight="1" x14ac:dyDescent="0.25">
      <c r="A40" s="290"/>
      <c r="B40" s="1596" t="s">
        <v>383</v>
      </c>
      <c r="C40" s="1596"/>
      <c r="D40" s="309" t="s">
        <v>384</v>
      </c>
      <c r="E40" s="1017"/>
      <c r="F40" s="310"/>
      <c r="G40" s="310"/>
      <c r="H40" s="310" t="e">
        <f t="shared" si="0"/>
        <v>#DIV/0!</v>
      </c>
    </row>
    <row r="41" spans="1:8" ht="15" hidden="1" customHeight="1" x14ac:dyDescent="0.25">
      <c r="A41" s="308"/>
      <c r="B41" s="1596" t="s">
        <v>385</v>
      </c>
      <c r="C41" s="1596"/>
      <c r="D41" s="309"/>
      <c r="E41" s="1017"/>
      <c r="F41" s="310"/>
      <c r="G41" s="310"/>
      <c r="H41" s="310" t="e">
        <f t="shared" si="0"/>
        <v>#DIV/0!</v>
      </c>
    </row>
    <row r="42" spans="1:8" s="307" customFormat="1" ht="15" x14ac:dyDescent="0.25">
      <c r="A42" s="302"/>
      <c r="B42" s="303" t="s">
        <v>386</v>
      </c>
      <c r="C42" s="304"/>
      <c r="D42" s="305" t="s">
        <v>387</v>
      </c>
      <c r="E42" s="306"/>
      <c r="F42" s="306"/>
      <c r="G42" s="306"/>
      <c r="H42" s="306"/>
    </row>
    <row r="43" spans="1:8" s="307" customFormat="1" ht="15" x14ac:dyDescent="0.25">
      <c r="A43" s="302"/>
      <c r="B43" s="303" t="s">
        <v>388</v>
      </c>
      <c r="C43" s="304"/>
      <c r="D43" s="305" t="s">
        <v>389</v>
      </c>
      <c r="E43" s="306"/>
      <c r="F43" s="306"/>
      <c r="G43" s="306"/>
      <c r="H43" s="306"/>
    </row>
    <row r="44" spans="1:8" s="307" customFormat="1" ht="15" x14ac:dyDescent="0.25">
      <c r="A44" s="302"/>
      <c r="B44" s="303" t="s">
        <v>390</v>
      </c>
      <c r="C44" s="304"/>
      <c r="D44" s="305" t="s">
        <v>391</v>
      </c>
      <c r="E44" s="306"/>
      <c r="F44" s="306"/>
      <c r="G44" s="306"/>
      <c r="H44" s="306"/>
    </row>
    <row r="45" spans="1:8" s="307" customFormat="1" ht="15" x14ac:dyDescent="0.25">
      <c r="A45" s="302"/>
      <c r="B45" s="303" t="s">
        <v>392</v>
      </c>
      <c r="C45" s="304"/>
      <c r="D45" s="305" t="s">
        <v>393</v>
      </c>
      <c r="E45" s="306">
        <f>SUM(E46)</f>
        <v>0</v>
      </c>
      <c r="F45" s="306">
        <f>SUM(F46)</f>
        <v>0</v>
      </c>
      <c r="G45" s="306">
        <f>SUM(G46)</f>
        <v>0</v>
      </c>
      <c r="H45" s="306"/>
    </row>
    <row r="46" spans="1:8" s="307" customFormat="1" ht="15.75" hidden="1" thickBot="1" x14ac:dyDescent="0.3">
      <c r="A46" s="985"/>
      <c r="B46" s="986" t="s">
        <v>394</v>
      </c>
      <c r="C46" s="987"/>
      <c r="D46" s="988" t="s">
        <v>395</v>
      </c>
      <c r="E46" s="989">
        <v>0</v>
      </c>
      <c r="F46" s="989">
        <v>0</v>
      </c>
      <c r="G46" s="989"/>
      <c r="H46" s="989"/>
    </row>
    <row r="47" spans="1:8" s="301" customFormat="1" ht="16.5" x14ac:dyDescent="0.25">
      <c r="A47" s="980"/>
      <c r="B47" s="981" t="s">
        <v>107</v>
      </c>
      <c r="C47" s="982"/>
      <c r="D47" s="983" t="s">
        <v>396</v>
      </c>
      <c r="E47" s="984">
        <f>SUM(E48+E49+E66+E58+E69)</f>
        <v>526670</v>
      </c>
      <c r="F47" s="984">
        <f>SUM(F48+F49+F66+F58+F69)</f>
        <v>0</v>
      </c>
      <c r="G47" s="984">
        <f>SUM(G48+G49+G66+G58+G69)</f>
        <v>0</v>
      </c>
      <c r="H47" s="984" t="e">
        <f t="shared" si="0"/>
        <v>#DIV/0!</v>
      </c>
    </row>
    <row r="48" spans="1:8" s="307" customFormat="1" ht="15" x14ac:dyDescent="0.25">
      <c r="A48" s="302"/>
      <c r="B48" s="303" t="s">
        <v>397</v>
      </c>
      <c r="C48" s="304"/>
      <c r="D48" s="305" t="s">
        <v>1493</v>
      </c>
      <c r="E48" s="306">
        <v>517641</v>
      </c>
      <c r="F48" s="306"/>
      <c r="G48" s="306"/>
      <c r="H48" s="306" t="e">
        <f t="shared" si="0"/>
        <v>#DIV/0!</v>
      </c>
    </row>
    <row r="49" spans="1:8" s="307" customFormat="1" ht="15" hidden="1" x14ac:dyDescent="0.25">
      <c r="A49" s="302"/>
      <c r="B49" s="303" t="s">
        <v>398</v>
      </c>
      <c r="C49" s="304"/>
      <c r="D49" s="305" t="s">
        <v>399</v>
      </c>
      <c r="E49" s="306">
        <f>SUM(E50:E56)</f>
        <v>0</v>
      </c>
      <c r="F49" s="306">
        <f>SUM(F50:F57)</f>
        <v>0</v>
      </c>
      <c r="G49" s="306">
        <f>SUM(G50:G57)</f>
        <v>0</v>
      </c>
      <c r="H49" s="306" t="e">
        <f t="shared" si="0"/>
        <v>#DIV/0!</v>
      </c>
    </row>
    <row r="50" spans="1:8" ht="15" hidden="1" customHeight="1" x14ac:dyDescent="0.25">
      <c r="A50" s="308"/>
      <c r="B50" s="1596" t="s">
        <v>400</v>
      </c>
      <c r="C50" s="1596"/>
      <c r="D50" s="309" t="s">
        <v>401</v>
      </c>
      <c r="E50" s="310"/>
      <c r="F50" s="310"/>
      <c r="G50" s="310"/>
      <c r="H50" s="310" t="e">
        <f t="shared" si="0"/>
        <v>#DIV/0!</v>
      </c>
    </row>
    <row r="51" spans="1:8" ht="15" hidden="1" customHeight="1" x14ac:dyDescent="0.25">
      <c r="A51" s="308"/>
      <c r="B51" s="1596" t="s">
        <v>402</v>
      </c>
      <c r="C51" s="1596"/>
      <c r="D51" s="309" t="s">
        <v>403</v>
      </c>
      <c r="E51" s="310"/>
      <c r="F51" s="310"/>
      <c r="G51" s="310"/>
      <c r="H51" s="310" t="e">
        <f t="shared" si="0"/>
        <v>#DIV/0!</v>
      </c>
    </row>
    <row r="52" spans="1:8" ht="15" hidden="1" customHeight="1" x14ac:dyDescent="0.25">
      <c r="A52" s="308"/>
      <c r="B52" s="1596" t="s">
        <v>404</v>
      </c>
      <c r="C52" s="1596"/>
      <c r="D52" s="309" t="s">
        <v>405</v>
      </c>
      <c r="E52" s="310"/>
      <c r="F52" s="310"/>
      <c r="G52" s="310"/>
      <c r="H52" s="310" t="e">
        <f t="shared" si="0"/>
        <v>#DIV/0!</v>
      </c>
    </row>
    <row r="53" spans="1:8" ht="15" hidden="1" customHeight="1" x14ac:dyDescent="0.25">
      <c r="A53" s="308"/>
      <c r="B53" s="1596" t="s">
        <v>406</v>
      </c>
      <c r="C53" s="1596"/>
      <c r="D53" s="309" t="s">
        <v>407</v>
      </c>
      <c r="E53" s="310"/>
      <c r="F53" s="310"/>
      <c r="G53" s="310"/>
      <c r="H53" s="310" t="e">
        <f t="shared" si="0"/>
        <v>#DIV/0!</v>
      </c>
    </row>
    <row r="54" spans="1:8" ht="15" hidden="1" customHeight="1" x14ac:dyDescent="0.25">
      <c r="A54" s="308"/>
      <c r="B54" s="1596" t="s">
        <v>408</v>
      </c>
      <c r="C54" s="1596"/>
      <c r="D54" s="309" t="s">
        <v>409</v>
      </c>
      <c r="E54" s="310"/>
      <c r="F54" s="310"/>
      <c r="G54" s="310"/>
      <c r="H54" s="310" t="e">
        <f t="shared" si="0"/>
        <v>#DIV/0!</v>
      </c>
    </row>
    <row r="55" spans="1:8" ht="15" hidden="1" customHeight="1" x14ac:dyDescent="0.25">
      <c r="A55" s="308"/>
      <c r="B55" s="1596" t="s">
        <v>410</v>
      </c>
      <c r="C55" s="1596"/>
      <c r="D55" s="309" t="s">
        <v>411</v>
      </c>
      <c r="E55" s="310"/>
      <c r="F55" s="310"/>
      <c r="G55" s="310"/>
      <c r="H55" s="310" t="e">
        <f t="shared" si="0"/>
        <v>#DIV/0!</v>
      </c>
    </row>
    <row r="56" spans="1:8" ht="15" hidden="1" customHeight="1" x14ac:dyDescent="0.25">
      <c r="A56" s="308"/>
      <c r="B56" s="1596" t="s">
        <v>412</v>
      </c>
      <c r="C56" s="1596"/>
      <c r="D56" s="309" t="s">
        <v>413</v>
      </c>
      <c r="E56" s="310"/>
      <c r="F56" s="310"/>
      <c r="G56" s="310"/>
      <c r="H56" s="310" t="e">
        <f t="shared" si="0"/>
        <v>#DIV/0!</v>
      </c>
    </row>
    <row r="57" spans="1:8" ht="15" hidden="1" customHeight="1" x14ac:dyDescent="0.25">
      <c r="A57" s="308"/>
      <c r="B57" s="1596" t="s">
        <v>414</v>
      </c>
      <c r="C57" s="1596"/>
      <c r="D57" s="309" t="s">
        <v>415</v>
      </c>
      <c r="E57" s="310">
        <v>0</v>
      </c>
      <c r="F57" s="310"/>
      <c r="G57" s="310"/>
      <c r="H57" s="310" t="e">
        <f t="shared" si="0"/>
        <v>#DIV/0!</v>
      </c>
    </row>
    <row r="58" spans="1:8" s="307" customFormat="1" ht="15" x14ac:dyDescent="0.25">
      <c r="A58" s="302"/>
      <c r="B58" s="303" t="s">
        <v>552</v>
      </c>
      <c r="C58" s="304"/>
      <c r="D58" s="305" t="s">
        <v>416</v>
      </c>
      <c r="E58" s="306">
        <v>9029</v>
      </c>
      <c r="F58" s="306"/>
      <c r="G58" s="306"/>
      <c r="H58" s="306" t="e">
        <f t="shared" si="0"/>
        <v>#DIV/0!</v>
      </c>
    </row>
    <row r="59" spans="1:8" ht="15" hidden="1" customHeight="1" x14ac:dyDescent="0.25">
      <c r="A59" s="290"/>
      <c r="B59" s="1596" t="s">
        <v>417</v>
      </c>
      <c r="C59" s="1596"/>
      <c r="D59" s="309" t="s">
        <v>418</v>
      </c>
      <c r="E59" s="310"/>
      <c r="F59" s="310"/>
      <c r="G59" s="310"/>
      <c r="H59" s="310" t="e">
        <f t="shared" si="0"/>
        <v>#DIV/0!</v>
      </c>
    </row>
    <row r="60" spans="1:8" ht="15" hidden="1" customHeight="1" x14ac:dyDescent="0.25">
      <c r="A60" s="290"/>
      <c r="B60" s="1596" t="s">
        <v>419</v>
      </c>
      <c r="C60" s="1596"/>
      <c r="D60" s="321" t="s">
        <v>420</v>
      </c>
      <c r="E60" s="310"/>
      <c r="F60" s="310"/>
      <c r="G60" s="310"/>
      <c r="H60" s="310" t="e">
        <f t="shared" si="0"/>
        <v>#DIV/0!</v>
      </c>
    </row>
    <row r="61" spans="1:8" ht="15" hidden="1" customHeight="1" x14ac:dyDescent="0.25">
      <c r="A61" s="290"/>
      <c r="B61" s="1596" t="s">
        <v>421</v>
      </c>
      <c r="C61" s="1596"/>
      <c r="D61" s="321" t="s">
        <v>422</v>
      </c>
      <c r="E61" s="310"/>
      <c r="F61" s="310"/>
      <c r="G61" s="310"/>
      <c r="H61" s="310" t="e">
        <f t="shared" si="0"/>
        <v>#DIV/0!</v>
      </c>
    </row>
    <row r="62" spans="1:8" ht="16.5" hidden="1" customHeight="1" x14ac:dyDescent="0.25">
      <c r="A62" s="290"/>
      <c r="B62" s="291"/>
      <c r="C62" s="318" t="s">
        <v>423</v>
      </c>
      <c r="D62" s="321" t="s">
        <v>424</v>
      </c>
      <c r="E62" s="310"/>
      <c r="F62" s="310"/>
      <c r="G62" s="310"/>
      <c r="H62" s="310" t="e">
        <f t="shared" si="0"/>
        <v>#DIV/0!</v>
      </c>
    </row>
    <row r="63" spans="1:8" ht="14.25" hidden="1" customHeight="1" x14ac:dyDescent="0.25">
      <c r="A63" s="290"/>
      <c r="B63" s="291"/>
      <c r="C63" s="318" t="s">
        <v>425</v>
      </c>
      <c r="D63" s="321" t="s">
        <v>426</v>
      </c>
      <c r="E63" s="310"/>
      <c r="F63" s="310"/>
      <c r="G63" s="310"/>
      <c r="H63" s="310" t="e">
        <f t="shared" si="0"/>
        <v>#DIV/0!</v>
      </c>
    </row>
    <row r="64" spans="1:8" ht="14.25" hidden="1" customHeight="1" x14ac:dyDescent="0.25">
      <c r="A64" s="290"/>
      <c r="B64" s="291"/>
      <c r="C64" s="318" t="s">
        <v>427</v>
      </c>
      <c r="D64" s="321" t="s">
        <v>428</v>
      </c>
      <c r="E64" s="310"/>
      <c r="F64" s="310"/>
      <c r="G64" s="310"/>
      <c r="H64" s="310" t="e">
        <f t="shared" si="0"/>
        <v>#DIV/0!</v>
      </c>
    </row>
    <row r="65" spans="1:8" ht="14.25" hidden="1" customHeight="1" x14ac:dyDescent="0.25">
      <c r="A65" s="290"/>
      <c r="B65" s="1596" t="s">
        <v>429</v>
      </c>
      <c r="C65" s="1596"/>
      <c r="D65" s="321" t="s">
        <v>416</v>
      </c>
      <c r="E65" s="310"/>
      <c r="F65" s="310"/>
      <c r="G65" s="310"/>
      <c r="H65" s="310" t="e">
        <f t="shared" si="0"/>
        <v>#DIV/0!</v>
      </c>
    </row>
    <row r="66" spans="1:8" s="307" customFormat="1" ht="15" hidden="1" x14ac:dyDescent="0.25">
      <c r="A66" s="302"/>
      <c r="B66" s="303" t="s">
        <v>430</v>
      </c>
      <c r="C66" s="304"/>
      <c r="D66" s="305" t="s">
        <v>431</v>
      </c>
      <c r="E66" s="306"/>
      <c r="F66" s="306"/>
      <c r="G66" s="306"/>
      <c r="H66" s="306" t="e">
        <f t="shared" si="0"/>
        <v>#DIV/0!</v>
      </c>
    </row>
    <row r="67" spans="1:8" ht="15" hidden="1" customHeight="1" x14ac:dyDescent="0.25">
      <c r="A67" s="290"/>
      <c r="B67" s="1596" t="s">
        <v>432</v>
      </c>
      <c r="C67" s="1596"/>
      <c r="D67" s="309" t="s">
        <v>433</v>
      </c>
      <c r="E67" s="310"/>
      <c r="F67" s="310"/>
      <c r="G67" s="310"/>
      <c r="H67" s="310" t="e">
        <f t="shared" si="0"/>
        <v>#DIV/0!</v>
      </c>
    </row>
    <row r="68" spans="1:8" ht="15" hidden="1" customHeight="1" x14ac:dyDescent="0.25">
      <c r="A68" s="290"/>
      <c r="B68" s="1597" t="s">
        <v>434</v>
      </c>
      <c r="C68" s="1597"/>
      <c r="D68" s="313" t="s">
        <v>435</v>
      </c>
      <c r="E68" s="314"/>
      <c r="F68" s="314"/>
      <c r="G68" s="314"/>
      <c r="H68" s="314" t="e">
        <f t="shared" si="0"/>
        <v>#DIV/0!</v>
      </c>
    </row>
    <row r="69" spans="1:8" s="307" customFormat="1" ht="15" hidden="1" x14ac:dyDescent="0.25">
      <c r="A69" s="302"/>
      <c r="B69" s="303" t="s">
        <v>436</v>
      </c>
      <c r="C69" s="304"/>
      <c r="D69" s="305" t="s">
        <v>249</v>
      </c>
      <c r="E69" s="306"/>
      <c r="F69" s="306"/>
      <c r="G69" s="306"/>
      <c r="H69" s="306" t="e">
        <f t="shared" si="0"/>
        <v>#DIV/0!</v>
      </c>
    </row>
    <row r="70" spans="1:8" s="301" customFormat="1" ht="16.5" x14ac:dyDescent="0.25">
      <c r="A70" s="296"/>
      <c r="B70" s="297" t="s">
        <v>109</v>
      </c>
      <c r="C70" s="298"/>
      <c r="D70" s="299" t="s">
        <v>1950</v>
      </c>
      <c r="E70" s="300">
        <f>E71+E81</f>
        <v>0</v>
      </c>
      <c r="F70" s="300">
        <f>F71+F81</f>
        <v>0</v>
      </c>
      <c r="G70" s="300">
        <f>G71+G81</f>
        <v>0</v>
      </c>
      <c r="H70" s="300" t="e">
        <f t="shared" si="0"/>
        <v>#DIV/0!</v>
      </c>
    </row>
    <row r="71" spans="1:8" s="307" customFormat="1" ht="15" x14ac:dyDescent="0.25">
      <c r="A71" s="302"/>
      <c r="B71" s="303" t="s">
        <v>437</v>
      </c>
      <c r="C71" s="304"/>
      <c r="D71" s="305" t="s">
        <v>1951</v>
      </c>
      <c r="E71" s="306">
        <f>SUM(E72)</f>
        <v>0</v>
      </c>
      <c r="F71" s="306">
        <f>SUM(F72+F81)</f>
        <v>0</v>
      </c>
      <c r="G71" s="306">
        <f>SUM(G72+G81)</f>
        <v>0</v>
      </c>
      <c r="H71" s="306" t="e">
        <f t="shared" ref="H71:H134" si="1">G71/F71*100</f>
        <v>#DIV/0!</v>
      </c>
    </row>
    <row r="72" spans="1:8" s="307" customFormat="1" ht="15" hidden="1" x14ac:dyDescent="0.25">
      <c r="A72" s="302"/>
      <c r="B72" s="303" t="s">
        <v>438</v>
      </c>
      <c r="C72" s="317"/>
      <c r="D72" s="313" t="s">
        <v>439</v>
      </c>
      <c r="E72" s="314">
        <f>SUM(E73:E78)</f>
        <v>0</v>
      </c>
      <c r="F72" s="314">
        <f>SUM(F73:F78)</f>
        <v>0</v>
      </c>
      <c r="G72" s="314">
        <f>SUM(G73:G78)</f>
        <v>0</v>
      </c>
      <c r="H72" s="314" t="e">
        <f t="shared" si="1"/>
        <v>#DIV/0!</v>
      </c>
    </row>
    <row r="73" spans="1:8" s="307" customFormat="1" ht="15" hidden="1" x14ac:dyDescent="0.25">
      <c r="A73" s="302"/>
      <c r="B73" s="322" t="s">
        <v>440</v>
      </c>
      <c r="C73" s="317"/>
      <c r="D73" s="323"/>
      <c r="E73" s="310"/>
      <c r="F73" s="310"/>
      <c r="G73" s="310"/>
      <c r="H73" s="310" t="e">
        <f t="shared" si="1"/>
        <v>#DIV/0!</v>
      </c>
    </row>
    <row r="74" spans="1:8" s="307" customFormat="1" ht="15" hidden="1" x14ac:dyDescent="0.25">
      <c r="A74" s="302"/>
      <c r="B74" s="322" t="s">
        <v>441</v>
      </c>
      <c r="C74" s="317"/>
      <c r="D74" s="323" t="s">
        <v>442</v>
      </c>
      <c r="E74" s="310"/>
      <c r="F74" s="310"/>
      <c r="G74" s="310"/>
      <c r="H74" s="310"/>
    </row>
    <row r="75" spans="1:8" s="307" customFormat="1" ht="15" hidden="1" x14ac:dyDescent="0.25">
      <c r="A75" s="302"/>
      <c r="B75" s="322" t="s">
        <v>443</v>
      </c>
      <c r="C75" s="317"/>
      <c r="D75" s="323"/>
      <c r="E75" s="310"/>
      <c r="F75" s="310"/>
      <c r="G75" s="310"/>
      <c r="H75" s="310"/>
    </row>
    <row r="76" spans="1:8" s="307" customFormat="1" ht="15" hidden="1" x14ac:dyDescent="0.25">
      <c r="A76" s="302"/>
      <c r="B76" s="322" t="s">
        <v>444</v>
      </c>
      <c r="C76" s="317"/>
      <c r="D76" s="323" t="s">
        <v>445</v>
      </c>
      <c r="E76" s="310">
        <v>0</v>
      </c>
      <c r="F76" s="310"/>
      <c r="G76" s="310"/>
      <c r="H76" s="310" t="e">
        <f t="shared" si="1"/>
        <v>#DIV/0!</v>
      </c>
    </row>
    <row r="77" spans="1:8" s="307" customFormat="1" ht="15" hidden="1" x14ac:dyDescent="0.25">
      <c r="A77" s="302"/>
      <c r="B77" s="322" t="s">
        <v>446</v>
      </c>
      <c r="C77" s="317"/>
      <c r="D77" s="323" t="s">
        <v>447</v>
      </c>
      <c r="E77" s="310"/>
      <c r="F77" s="310"/>
      <c r="G77" s="310"/>
      <c r="H77" s="310" t="e">
        <f t="shared" si="1"/>
        <v>#DIV/0!</v>
      </c>
    </row>
    <row r="78" spans="1:8" s="307" customFormat="1" ht="15" hidden="1" x14ac:dyDescent="0.25">
      <c r="A78" s="302"/>
      <c r="B78" s="322" t="s">
        <v>448</v>
      </c>
      <c r="C78" s="317"/>
      <c r="D78" s="323"/>
      <c r="E78" s="310"/>
      <c r="F78" s="310"/>
      <c r="G78" s="310"/>
      <c r="H78" s="310"/>
    </row>
    <row r="79" spans="1:8" s="307" customFormat="1" ht="15" hidden="1" x14ac:dyDescent="0.25">
      <c r="A79" s="302"/>
      <c r="B79" s="322"/>
      <c r="C79" s="317"/>
      <c r="D79" s="323"/>
      <c r="E79" s="310"/>
      <c r="F79" s="310"/>
      <c r="G79" s="310"/>
      <c r="H79" s="310" t="e">
        <f t="shared" si="1"/>
        <v>#DIV/0!</v>
      </c>
    </row>
    <row r="80" spans="1:8" s="307" customFormat="1" ht="15" hidden="1" x14ac:dyDescent="0.25">
      <c r="A80" s="302"/>
      <c r="B80" s="322"/>
      <c r="C80" s="317"/>
      <c r="D80" s="323"/>
      <c r="E80" s="310"/>
      <c r="F80" s="310"/>
      <c r="G80" s="310"/>
      <c r="H80" s="310" t="e">
        <f t="shared" si="1"/>
        <v>#DIV/0!</v>
      </c>
    </row>
    <row r="81" spans="1:8" s="307" customFormat="1" ht="15" hidden="1" x14ac:dyDescent="0.25">
      <c r="A81" s="302"/>
      <c r="B81" s="303" t="s">
        <v>449</v>
      </c>
      <c r="C81" s="317"/>
      <c r="D81" s="313" t="s">
        <v>450</v>
      </c>
      <c r="E81" s="314">
        <v>0</v>
      </c>
      <c r="F81" s="314"/>
      <c r="G81" s="314"/>
      <c r="H81" s="314" t="e">
        <f t="shared" si="1"/>
        <v>#DIV/0!</v>
      </c>
    </row>
    <row r="82" spans="1:8" s="301" customFormat="1" ht="16.5" x14ac:dyDescent="0.25">
      <c r="A82" s="296"/>
      <c r="B82" s="297" t="s">
        <v>451</v>
      </c>
      <c r="C82" s="298"/>
      <c r="D82" s="299" t="s">
        <v>452</v>
      </c>
      <c r="E82" s="300">
        <f>SUM(E83)</f>
        <v>0</v>
      </c>
      <c r="F82" s="300">
        <f>SUM(F83)</f>
        <v>0</v>
      </c>
      <c r="G82" s="300">
        <f>SUM(G83)</f>
        <v>0</v>
      </c>
      <c r="H82" s="300"/>
    </row>
    <row r="83" spans="1:8" s="307" customFormat="1" ht="15" x14ac:dyDescent="0.25">
      <c r="A83" s="302"/>
      <c r="B83" s="303" t="s">
        <v>113</v>
      </c>
      <c r="C83" s="304"/>
      <c r="D83" s="305" t="s">
        <v>453</v>
      </c>
      <c r="E83" s="306"/>
      <c r="F83" s="306"/>
      <c r="G83" s="306"/>
      <c r="H83" s="306"/>
    </row>
    <row r="84" spans="1:8" s="301" customFormat="1" ht="16.5" x14ac:dyDescent="0.25">
      <c r="A84" s="296"/>
      <c r="B84" s="297" t="s">
        <v>454</v>
      </c>
      <c r="C84" s="298"/>
      <c r="D84" s="299" t="s">
        <v>455</v>
      </c>
      <c r="E84" s="300">
        <v>0</v>
      </c>
      <c r="F84" s="300">
        <v>0</v>
      </c>
      <c r="G84" s="300">
        <v>0</v>
      </c>
      <c r="H84" s="300"/>
    </row>
    <row r="85" spans="1:8" ht="19.5" customHeight="1" x14ac:dyDescent="0.25">
      <c r="A85" s="1600" t="s">
        <v>456</v>
      </c>
      <c r="B85" s="1600"/>
      <c r="C85" s="1600"/>
      <c r="D85" s="1600"/>
      <c r="E85" s="324">
        <f>E4+E29+E47+E70+E82+E84</f>
        <v>2229349</v>
      </c>
      <c r="F85" s="324">
        <f>F4+F29+F47+F70+F82+F84</f>
        <v>0</v>
      </c>
      <c r="G85" s="324">
        <f>G4+G29+G47+G70+G82+G84</f>
        <v>0</v>
      </c>
      <c r="H85" s="324" t="e">
        <f t="shared" si="1"/>
        <v>#DIV/0!</v>
      </c>
    </row>
    <row r="86" spans="1:8" s="301" customFormat="1" ht="16.5" x14ac:dyDescent="0.25">
      <c r="A86" s="296"/>
      <c r="B86" s="297" t="s">
        <v>457</v>
      </c>
      <c r="C86" s="298"/>
      <c r="D86" s="299" t="s">
        <v>458</v>
      </c>
      <c r="E86" s="300"/>
      <c r="F86" s="300"/>
      <c r="G86" s="300"/>
      <c r="H86" s="300" t="e">
        <f t="shared" si="1"/>
        <v>#DIV/0!</v>
      </c>
    </row>
    <row r="87" spans="1:8" s="301" customFormat="1" ht="31.5" customHeight="1" x14ac:dyDescent="0.25">
      <c r="A87" s="296"/>
      <c r="B87" s="325" t="s">
        <v>459</v>
      </c>
      <c r="C87" s="298"/>
      <c r="D87" s="326" t="s">
        <v>460</v>
      </c>
      <c r="E87" s="300">
        <v>0</v>
      </c>
      <c r="F87" s="300">
        <v>0</v>
      </c>
      <c r="G87" s="300">
        <v>0</v>
      </c>
      <c r="H87" s="300"/>
    </row>
    <row r="88" spans="1:8" ht="19.5" customHeight="1" x14ac:dyDescent="0.25">
      <c r="A88" s="1600" t="s">
        <v>461</v>
      </c>
      <c r="B88" s="1600" t="s">
        <v>462</v>
      </c>
      <c r="C88" s="1600"/>
      <c r="D88" s="1600" t="s">
        <v>463</v>
      </c>
      <c r="E88" s="324">
        <f>SUM(E86:E87)</f>
        <v>0</v>
      </c>
      <c r="F88" s="324">
        <f>SUM(F86:F87)</f>
        <v>0</v>
      </c>
      <c r="G88" s="324">
        <f>SUM(G86:G87)</f>
        <v>0</v>
      </c>
      <c r="H88" s="324" t="e">
        <f t="shared" si="1"/>
        <v>#DIV/0!</v>
      </c>
    </row>
    <row r="89" spans="1:8" ht="19.5" customHeight="1" x14ac:dyDescent="0.25">
      <c r="A89" s="1600" t="s">
        <v>464</v>
      </c>
      <c r="B89" s="1600"/>
      <c r="C89" s="1600"/>
      <c r="D89" s="1600"/>
      <c r="E89" s="324">
        <f>E85+E88</f>
        <v>2229349</v>
      </c>
      <c r="F89" s="324">
        <f>F85+F88</f>
        <v>0</v>
      </c>
      <c r="G89" s="324">
        <f>G85+G88</f>
        <v>0</v>
      </c>
      <c r="H89" s="324" t="e">
        <f t="shared" si="1"/>
        <v>#DIV/0!</v>
      </c>
    </row>
    <row r="90" spans="1:8" s="301" customFormat="1" ht="16.5" x14ac:dyDescent="0.25">
      <c r="A90" s="296"/>
      <c r="B90" s="297" t="s">
        <v>465</v>
      </c>
      <c r="C90" s="298"/>
      <c r="D90" s="299" t="s">
        <v>466</v>
      </c>
      <c r="E90" s="300">
        <f>E91</f>
        <v>0</v>
      </c>
      <c r="F90" s="300">
        <f>F91</f>
        <v>0</v>
      </c>
      <c r="G90" s="300">
        <f>G91</f>
        <v>0</v>
      </c>
      <c r="H90" s="300"/>
    </row>
    <row r="91" spans="1:8" s="307" customFormat="1" ht="15" x14ac:dyDescent="0.25">
      <c r="A91" s="302"/>
      <c r="B91" s="303" t="s">
        <v>467</v>
      </c>
      <c r="C91" s="304"/>
      <c r="D91" s="305" t="s">
        <v>468</v>
      </c>
      <c r="E91" s="306"/>
      <c r="F91" s="306"/>
      <c r="G91" s="306"/>
      <c r="H91" s="306"/>
    </row>
    <row r="92" spans="1:8" s="301" customFormat="1" ht="16.5" x14ac:dyDescent="0.25">
      <c r="A92" s="296"/>
      <c r="B92" s="297" t="s">
        <v>469</v>
      </c>
      <c r="C92" s="298"/>
      <c r="D92" s="299" t="s">
        <v>470</v>
      </c>
      <c r="E92" s="300">
        <f>E93</f>
        <v>0</v>
      </c>
      <c r="F92" s="300">
        <f>F93</f>
        <v>0</v>
      </c>
      <c r="G92" s="300">
        <f>G93</f>
        <v>0</v>
      </c>
      <c r="H92" s="300"/>
    </row>
    <row r="93" spans="1:8" s="307" customFormat="1" ht="15" x14ac:dyDescent="0.25">
      <c r="A93" s="327"/>
      <c r="B93" s="303" t="s">
        <v>471</v>
      </c>
      <c r="C93" s="304"/>
      <c r="D93" s="305" t="s">
        <v>472</v>
      </c>
      <c r="E93" s="306"/>
      <c r="F93" s="306"/>
      <c r="G93" s="306"/>
      <c r="H93" s="306"/>
    </row>
    <row r="94" spans="1:8" ht="19.5" customHeight="1" x14ac:dyDescent="0.25">
      <c r="A94" s="1600" t="s">
        <v>473</v>
      </c>
      <c r="B94" s="1600"/>
      <c r="C94" s="1600"/>
      <c r="D94" s="1600"/>
      <c r="E94" s="324">
        <f>E90+E92</f>
        <v>0</v>
      </c>
      <c r="F94" s="324">
        <f>F90+F92</f>
        <v>0</v>
      </c>
      <c r="G94" s="324">
        <f>G90+G92</f>
        <v>0</v>
      </c>
      <c r="H94" s="324"/>
    </row>
    <row r="95" spans="1:8" ht="19.5" customHeight="1" x14ac:dyDescent="0.25">
      <c r="A95" s="1594" t="s">
        <v>474</v>
      </c>
      <c r="B95" s="1594"/>
      <c r="C95" s="1594"/>
      <c r="D95" s="1594"/>
      <c r="E95" s="295">
        <f>E89+E94</f>
        <v>2229349</v>
      </c>
      <c r="F95" s="295">
        <f>F89+F94</f>
        <v>0</v>
      </c>
      <c r="G95" s="295">
        <f>G89+G94</f>
        <v>0</v>
      </c>
      <c r="H95" s="295" t="e">
        <f t="shared" si="1"/>
        <v>#DIV/0!</v>
      </c>
    </row>
    <row r="96" spans="1:8" s="328" customFormat="1" ht="19.5" customHeight="1" x14ac:dyDescent="0.25">
      <c r="A96" s="977"/>
      <c r="B96" s="978"/>
      <c r="C96" s="978"/>
      <c r="D96" s="978"/>
      <c r="E96" s="979"/>
      <c r="F96" s="979"/>
      <c r="G96" s="979"/>
      <c r="H96" s="979"/>
    </row>
    <row r="97" spans="1:8" ht="19.5" customHeight="1" x14ac:dyDescent="0.25">
      <c r="A97" s="329" t="s">
        <v>475</v>
      </c>
      <c r="B97" s="330"/>
      <c r="C97" s="331"/>
      <c r="D97" s="332"/>
      <c r="E97" s="333"/>
      <c r="F97" s="333"/>
      <c r="G97" s="333"/>
      <c r="H97" s="333"/>
    </row>
    <row r="98" spans="1:8" s="301" customFormat="1" ht="16.5" x14ac:dyDescent="0.25">
      <c r="A98" s="334"/>
      <c r="B98" s="297" t="s">
        <v>7</v>
      </c>
      <c r="C98" s="298"/>
      <c r="D98" s="299" t="s">
        <v>476</v>
      </c>
      <c r="E98" s="300">
        <f>E99+E116</f>
        <v>200000</v>
      </c>
      <c r="F98" s="300">
        <f>F99+F116</f>
        <v>0</v>
      </c>
      <c r="G98" s="300">
        <f>G99+G116</f>
        <v>0</v>
      </c>
      <c r="H98" s="300" t="e">
        <f t="shared" si="1"/>
        <v>#DIV/0!</v>
      </c>
    </row>
    <row r="99" spans="1:8" s="307" customFormat="1" ht="15" x14ac:dyDescent="0.25">
      <c r="A99" s="302"/>
      <c r="B99" s="303" t="s">
        <v>477</v>
      </c>
      <c r="C99" s="304"/>
      <c r="D99" s="305" t="s">
        <v>478</v>
      </c>
      <c r="E99" s="306">
        <f>SUM(E100:E101)</f>
        <v>200000</v>
      </c>
      <c r="F99" s="306">
        <f>SUM(F100:F101)</f>
        <v>0</v>
      </c>
      <c r="G99" s="306">
        <f>SUM(G100:G101)</f>
        <v>0</v>
      </c>
      <c r="H99" s="306"/>
    </row>
    <row r="100" spans="1:8" ht="15" customHeight="1" x14ac:dyDescent="0.25">
      <c r="A100" s="290"/>
      <c r="B100" s="1596" t="s">
        <v>479</v>
      </c>
      <c r="C100" s="1596"/>
      <c r="D100" s="309" t="s">
        <v>480</v>
      </c>
      <c r="E100" s="310">
        <v>200000</v>
      </c>
      <c r="F100" s="310"/>
      <c r="G100" s="310"/>
      <c r="H100" s="310"/>
    </row>
    <row r="101" spans="1:8" ht="15" customHeight="1" x14ac:dyDescent="0.25">
      <c r="A101" s="290"/>
      <c r="B101" s="1596" t="s">
        <v>481</v>
      </c>
      <c r="C101" s="1596" t="s">
        <v>482</v>
      </c>
      <c r="D101" s="309" t="s">
        <v>483</v>
      </c>
      <c r="E101" s="310"/>
      <c r="F101" s="310"/>
      <c r="G101" s="310"/>
      <c r="H101" s="310"/>
    </row>
    <row r="102" spans="1:8" ht="15" hidden="1" customHeight="1" x14ac:dyDescent="0.25">
      <c r="A102" s="290"/>
      <c r="B102" s="291"/>
      <c r="C102" s="318" t="s">
        <v>484</v>
      </c>
      <c r="D102" s="309" t="s">
        <v>485</v>
      </c>
      <c r="E102" s="310"/>
      <c r="F102" s="310"/>
      <c r="G102" s="310"/>
      <c r="H102" s="310" t="e">
        <f t="shared" si="1"/>
        <v>#DIV/0!</v>
      </c>
    </row>
    <row r="103" spans="1:8" ht="15" hidden="1" customHeight="1" x14ac:dyDescent="0.25">
      <c r="A103" s="290"/>
      <c r="B103" s="291"/>
      <c r="C103" s="317" t="s">
        <v>486</v>
      </c>
      <c r="D103" s="313" t="s">
        <v>352</v>
      </c>
      <c r="E103" s="314"/>
      <c r="F103" s="314"/>
      <c r="G103" s="314"/>
      <c r="H103" s="314" t="e">
        <f t="shared" si="1"/>
        <v>#DIV/0!</v>
      </c>
    </row>
    <row r="104" spans="1:8" ht="15" hidden="1" customHeight="1" x14ac:dyDescent="0.25">
      <c r="A104" s="290"/>
      <c r="B104" s="291"/>
      <c r="C104" s="318" t="s">
        <v>487</v>
      </c>
      <c r="D104" s="309" t="s">
        <v>354</v>
      </c>
      <c r="E104" s="310"/>
      <c r="F104" s="310"/>
      <c r="G104" s="310"/>
      <c r="H104" s="310" t="e">
        <f t="shared" si="1"/>
        <v>#DIV/0!</v>
      </c>
    </row>
    <row r="105" spans="1:8" ht="15" hidden="1" customHeight="1" x14ac:dyDescent="0.25">
      <c r="A105" s="290"/>
      <c r="B105" s="291"/>
      <c r="C105" s="318" t="s">
        <v>488</v>
      </c>
      <c r="D105" s="309" t="s">
        <v>489</v>
      </c>
      <c r="E105" s="310"/>
      <c r="F105" s="310"/>
      <c r="G105" s="310"/>
      <c r="H105" s="310" t="e">
        <f t="shared" si="1"/>
        <v>#DIV/0!</v>
      </c>
    </row>
    <row r="106" spans="1:8" ht="15" hidden="1" customHeight="1" x14ac:dyDescent="0.25">
      <c r="A106" s="290"/>
      <c r="B106" s="291"/>
      <c r="C106" s="318" t="s">
        <v>490</v>
      </c>
      <c r="D106" s="309" t="s">
        <v>356</v>
      </c>
      <c r="E106" s="310"/>
      <c r="F106" s="310"/>
      <c r="G106" s="310"/>
      <c r="H106" s="310" t="e">
        <f t="shared" si="1"/>
        <v>#DIV/0!</v>
      </c>
    </row>
    <row r="107" spans="1:8" ht="15" hidden="1" customHeight="1" x14ac:dyDescent="0.25">
      <c r="A107" s="290"/>
      <c r="B107" s="291"/>
      <c r="C107" s="318" t="s">
        <v>491</v>
      </c>
      <c r="D107" s="309" t="s">
        <v>358</v>
      </c>
      <c r="E107" s="310"/>
      <c r="F107" s="310"/>
      <c r="G107" s="310"/>
      <c r="H107" s="310" t="e">
        <f t="shared" si="1"/>
        <v>#DIV/0!</v>
      </c>
    </row>
    <row r="108" spans="1:8" ht="15" hidden="1" customHeight="1" x14ac:dyDescent="0.25">
      <c r="A108" s="290"/>
      <c r="B108" s="291"/>
      <c r="C108" s="318" t="s">
        <v>492</v>
      </c>
      <c r="D108" s="309" t="s">
        <v>337</v>
      </c>
      <c r="E108" s="310"/>
      <c r="F108" s="310"/>
      <c r="G108" s="310"/>
      <c r="H108" s="310" t="e">
        <f t="shared" si="1"/>
        <v>#DIV/0!</v>
      </c>
    </row>
    <row r="109" spans="1:8" ht="15" hidden="1" customHeight="1" x14ac:dyDescent="0.25">
      <c r="A109" s="290"/>
      <c r="B109" s="291"/>
      <c r="C109" s="317" t="s">
        <v>493</v>
      </c>
      <c r="D109" s="313" t="s">
        <v>339</v>
      </c>
      <c r="E109" s="314"/>
      <c r="F109" s="314"/>
      <c r="G109" s="314"/>
      <c r="H109" s="314" t="e">
        <f t="shared" si="1"/>
        <v>#DIV/0!</v>
      </c>
    </row>
    <row r="110" spans="1:8" ht="15" hidden="1" customHeight="1" x14ac:dyDescent="0.25">
      <c r="A110" s="290"/>
      <c r="B110" s="291"/>
      <c r="C110" s="317" t="s">
        <v>494</v>
      </c>
      <c r="D110" s="313" t="s">
        <v>495</v>
      </c>
      <c r="E110" s="314"/>
      <c r="F110" s="314"/>
      <c r="G110" s="314"/>
      <c r="H110" s="314" t="e">
        <f t="shared" si="1"/>
        <v>#DIV/0!</v>
      </c>
    </row>
    <row r="111" spans="1:8" ht="15" hidden="1" customHeight="1" x14ac:dyDescent="0.25">
      <c r="A111" s="290"/>
      <c r="B111" s="291"/>
      <c r="C111" s="317" t="s">
        <v>496</v>
      </c>
      <c r="D111" s="313" t="s">
        <v>341</v>
      </c>
      <c r="E111" s="314"/>
      <c r="F111" s="314"/>
      <c r="G111" s="314"/>
      <c r="H111" s="314" t="e">
        <f t="shared" si="1"/>
        <v>#DIV/0!</v>
      </c>
    </row>
    <row r="112" spans="1:8" ht="15" hidden="1" customHeight="1" x14ac:dyDescent="0.25">
      <c r="A112" s="290"/>
      <c r="B112" s="291"/>
      <c r="C112" s="317" t="s">
        <v>497</v>
      </c>
      <c r="D112" s="313" t="s">
        <v>343</v>
      </c>
      <c r="E112" s="314"/>
      <c r="F112" s="314"/>
      <c r="G112" s="314"/>
      <c r="H112" s="314" t="e">
        <f t="shared" si="1"/>
        <v>#DIV/0!</v>
      </c>
    </row>
    <row r="113" spans="1:8" ht="15" hidden="1" customHeight="1" x14ac:dyDescent="0.25">
      <c r="A113" s="290"/>
      <c r="B113" s="291"/>
      <c r="C113" s="317" t="s">
        <v>498</v>
      </c>
      <c r="D113" s="313" t="s">
        <v>345</v>
      </c>
      <c r="E113" s="314"/>
      <c r="F113" s="314"/>
      <c r="G113" s="314"/>
      <c r="H113" s="314" t="e">
        <f t="shared" si="1"/>
        <v>#DIV/0!</v>
      </c>
    </row>
    <row r="114" spans="1:8" ht="15" hidden="1" customHeight="1" x14ac:dyDescent="0.25">
      <c r="A114" s="290"/>
      <c r="B114" s="291"/>
      <c r="C114" s="317" t="s">
        <v>499</v>
      </c>
      <c r="D114" s="313" t="s">
        <v>500</v>
      </c>
      <c r="E114" s="314"/>
      <c r="F114" s="314"/>
      <c r="G114" s="314"/>
      <c r="H114" s="314" t="e">
        <f t="shared" si="1"/>
        <v>#DIV/0!</v>
      </c>
    </row>
    <row r="115" spans="1:8" ht="15" hidden="1" customHeight="1" x14ac:dyDescent="0.25">
      <c r="A115" s="290"/>
      <c r="B115" s="291"/>
      <c r="C115" s="318" t="s">
        <v>501</v>
      </c>
      <c r="D115" s="309" t="s">
        <v>502</v>
      </c>
      <c r="E115" s="310"/>
      <c r="F115" s="310"/>
      <c r="G115" s="310"/>
      <c r="H115" s="310" t="e">
        <f t="shared" si="1"/>
        <v>#DIV/0!</v>
      </c>
    </row>
    <row r="116" spans="1:8" s="307" customFormat="1" ht="15" x14ac:dyDescent="0.25">
      <c r="A116" s="302"/>
      <c r="B116" s="303" t="s">
        <v>503</v>
      </c>
      <c r="C116" s="304"/>
      <c r="D116" s="305" t="s">
        <v>504</v>
      </c>
      <c r="E116" s="306">
        <f>E117</f>
        <v>0</v>
      </c>
      <c r="F116" s="306">
        <f>F117</f>
        <v>0</v>
      </c>
      <c r="G116" s="306">
        <f>G117</f>
        <v>0</v>
      </c>
      <c r="H116" s="306" t="e">
        <f t="shared" si="1"/>
        <v>#DIV/0!</v>
      </c>
    </row>
    <row r="117" spans="1:8" ht="15" customHeight="1" x14ac:dyDescent="0.25">
      <c r="A117" s="290"/>
      <c r="B117" s="1596" t="s">
        <v>505</v>
      </c>
      <c r="C117" s="1596"/>
      <c r="D117" s="309" t="s">
        <v>506</v>
      </c>
      <c r="E117" s="310"/>
      <c r="F117" s="310"/>
      <c r="G117" s="310"/>
      <c r="H117" s="310" t="e">
        <f t="shared" si="1"/>
        <v>#DIV/0!</v>
      </c>
    </row>
    <row r="118" spans="1:8" s="301" customFormat="1" ht="16.5" x14ac:dyDescent="0.25">
      <c r="A118" s="334"/>
      <c r="B118" s="297" t="s">
        <v>9</v>
      </c>
      <c r="C118" s="298"/>
      <c r="D118" s="299" t="s">
        <v>2013</v>
      </c>
      <c r="E118" s="300">
        <f>SUM(E119)</f>
        <v>157195</v>
      </c>
      <c r="F118" s="300">
        <f>SUM(F119)</f>
        <v>0</v>
      </c>
      <c r="G118" s="300">
        <f>SUM(G119)</f>
        <v>0</v>
      </c>
      <c r="H118" s="300"/>
    </row>
    <row r="119" spans="1:8" s="307" customFormat="1" ht="15" x14ac:dyDescent="0.25">
      <c r="A119" s="302"/>
      <c r="B119" s="303" t="s">
        <v>507</v>
      </c>
      <c r="C119" s="304"/>
      <c r="D119" s="305" t="s">
        <v>1952</v>
      </c>
      <c r="E119" s="306">
        <v>157195</v>
      </c>
      <c r="F119" s="306">
        <v>0</v>
      </c>
      <c r="G119" s="306">
        <v>0</v>
      </c>
      <c r="H119" s="306"/>
    </row>
    <row r="120" spans="1:8" s="301" customFormat="1" ht="16.5" x14ac:dyDescent="0.25">
      <c r="A120" s="334"/>
      <c r="B120" s="297" t="s">
        <v>11</v>
      </c>
      <c r="C120" s="298"/>
      <c r="D120" s="299" t="s">
        <v>508</v>
      </c>
      <c r="E120" s="300">
        <f>SUM(E121)</f>
        <v>500</v>
      </c>
      <c r="F120" s="300">
        <f>SUM(F121)</f>
        <v>0</v>
      </c>
      <c r="G120" s="300">
        <f>SUM(G121)</f>
        <v>0</v>
      </c>
      <c r="H120" s="300" t="e">
        <f t="shared" si="1"/>
        <v>#DIV/0!</v>
      </c>
    </row>
    <row r="121" spans="1:8" ht="15" customHeight="1" x14ac:dyDescent="0.25">
      <c r="A121" s="302"/>
      <c r="B121" s="303" t="s">
        <v>509</v>
      </c>
      <c r="C121" s="304"/>
      <c r="D121" s="305" t="s">
        <v>510</v>
      </c>
      <c r="E121" s="306">
        <f>SUM(E122:E124)</f>
        <v>500</v>
      </c>
      <c r="F121" s="306">
        <f>SUM(F122:F124)</f>
        <v>0</v>
      </c>
      <c r="G121" s="306">
        <f>SUM(G122:G124)</f>
        <v>0</v>
      </c>
      <c r="H121" s="306" t="e">
        <f t="shared" si="1"/>
        <v>#DIV/0!</v>
      </c>
    </row>
    <row r="122" spans="1:8" ht="15" customHeight="1" x14ac:dyDescent="0.25">
      <c r="A122" s="308"/>
      <c r="B122" s="319" t="s">
        <v>511</v>
      </c>
      <c r="C122" s="312"/>
      <c r="D122" s="309" t="s">
        <v>512</v>
      </c>
      <c r="E122" s="310">
        <v>500</v>
      </c>
      <c r="F122" s="310"/>
      <c r="G122" s="310"/>
      <c r="H122" s="310" t="e">
        <f t="shared" si="1"/>
        <v>#DIV/0!</v>
      </c>
    </row>
    <row r="123" spans="1:8" ht="15" customHeight="1" x14ac:dyDescent="0.25">
      <c r="A123" s="290"/>
      <c r="B123" s="1596" t="s">
        <v>513</v>
      </c>
      <c r="C123" s="1596"/>
      <c r="D123" s="309" t="s">
        <v>514</v>
      </c>
      <c r="E123" s="310"/>
      <c r="F123" s="310"/>
      <c r="G123" s="310"/>
      <c r="H123" s="310"/>
    </row>
    <row r="124" spans="1:8" ht="15" customHeight="1" x14ac:dyDescent="0.25">
      <c r="A124" s="290"/>
      <c r="B124" s="1596"/>
      <c r="C124" s="1596"/>
      <c r="D124" s="309"/>
      <c r="E124" s="310"/>
      <c r="F124" s="310"/>
      <c r="G124" s="310"/>
      <c r="H124" s="310" t="e">
        <f t="shared" si="1"/>
        <v>#DIV/0!</v>
      </c>
    </row>
    <row r="125" spans="1:8" ht="15" customHeight="1" x14ac:dyDescent="0.25">
      <c r="A125" s="290"/>
      <c r="B125" s="319"/>
      <c r="C125" s="312"/>
      <c r="D125" s="309"/>
      <c r="E125" s="310"/>
      <c r="F125" s="310"/>
      <c r="G125" s="310"/>
      <c r="H125" s="310"/>
    </row>
    <row r="126" spans="1:8" ht="15" customHeight="1" x14ac:dyDescent="0.25">
      <c r="A126" s="302"/>
      <c r="B126" s="297" t="s">
        <v>13</v>
      </c>
      <c r="C126" s="298"/>
      <c r="D126" s="299" t="s">
        <v>515</v>
      </c>
      <c r="E126" s="300">
        <f>SUM(E127)</f>
        <v>500</v>
      </c>
      <c r="F126" s="300">
        <f>SUM(F127)</f>
        <v>0</v>
      </c>
      <c r="G126" s="300">
        <f>SUM(G127)</f>
        <v>0</v>
      </c>
      <c r="H126" s="300" t="e">
        <f t="shared" si="1"/>
        <v>#DIV/0!</v>
      </c>
    </row>
    <row r="127" spans="1:8" ht="15" customHeight="1" x14ac:dyDescent="0.25">
      <c r="A127" s="290"/>
      <c r="B127" s="303" t="s">
        <v>516</v>
      </c>
      <c r="C127" s="304"/>
      <c r="D127" s="305" t="s">
        <v>517</v>
      </c>
      <c r="E127" s="306">
        <v>500</v>
      </c>
      <c r="F127" s="306"/>
      <c r="G127" s="306"/>
      <c r="H127" s="306" t="e">
        <f t="shared" si="1"/>
        <v>#DIV/0!</v>
      </c>
    </row>
    <row r="128" spans="1:8" s="301" customFormat="1" ht="16.5" hidden="1" x14ac:dyDescent="0.25">
      <c r="A128" s="334"/>
      <c r="B128" s="297" t="s">
        <v>13</v>
      </c>
      <c r="C128" s="298"/>
      <c r="D128" s="299" t="s">
        <v>515</v>
      </c>
      <c r="E128" s="300"/>
      <c r="F128" s="300"/>
      <c r="G128" s="300"/>
      <c r="H128" s="300" t="e">
        <f t="shared" si="1"/>
        <v>#DIV/0!</v>
      </c>
    </row>
    <row r="129" spans="1:12" s="307" customFormat="1" ht="15" hidden="1" x14ac:dyDescent="0.25">
      <c r="A129" s="302"/>
      <c r="B129" s="303" t="s">
        <v>516</v>
      </c>
      <c r="C129" s="304"/>
      <c r="D129" s="305" t="s">
        <v>517</v>
      </c>
      <c r="E129" s="306"/>
      <c r="F129" s="306"/>
      <c r="G129" s="306"/>
      <c r="H129" s="306" t="e">
        <f t="shared" si="1"/>
        <v>#DIV/0!</v>
      </c>
    </row>
    <row r="130" spans="1:12" ht="19.5" customHeight="1" x14ac:dyDescent="0.25">
      <c r="A130" s="1600" t="s">
        <v>518</v>
      </c>
      <c r="B130" s="1600"/>
      <c r="C130" s="1600"/>
      <c r="D130" s="1600" t="s">
        <v>519</v>
      </c>
      <c r="E130" s="324">
        <f>E98+E118+E120+E128+E126</f>
        <v>358195</v>
      </c>
      <c r="F130" s="324">
        <f>F98+F118+F120+F128+F126</f>
        <v>0</v>
      </c>
      <c r="G130" s="324">
        <f>G98+G118+G120+G128+G126</f>
        <v>0</v>
      </c>
      <c r="H130" s="324" t="e">
        <f t="shared" si="1"/>
        <v>#DIV/0!</v>
      </c>
    </row>
    <row r="131" spans="1:12" ht="16.5" x14ac:dyDescent="0.25">
      <c r="A131" s="296"/>
      <c r="B131" s="297" t="s">
        <v>13</v>
      </c>
      <c r="C131" s="298"/>
      <c r="D131" s="299" t="s">
        <v>520</v>
      </c>
      <c r="E131" s="300"/>
      <c r="F131" s="300"/>
      <c r="G131" s="300"/>
      <c r="H131" s="300" t="e">
        <f t="shared" si="1"/>
        <v>#DIV/0!</v>
      </c>
      <c r="K131" s="335"/>
      <c r="L131" s="335"/>
    </row>
    <row r="132" spans="1:12" s="301" customFormat="1" ht="33" x14ac:dyDescent="0.25">
      <c r="A132" s="296"/>
      <c r="B132" s="325" t="s">
        <v>15</v>
      </c>
      <c r="C132" s="298"/>
      <c r="D132" s="326" t="s">
        <v>521</v>
      </c>
      <c r="E132" s="300"/>
      <c r="F132" s="300"/>
      <c r="G132" s="300"/>
      <c r="H132" s="300" t="e">
        <f t="shared" si="1"/>
        <v>#DIV/0!</v>
      </c>
    </row>
    <row r="133" spans="1:12" ht="19.5" customHeight="1" x14ac:dyDescent="0.25">
      <c r="A133" s="1600" t="s">
        <v>522</v>
      </c>
      <c r="B133" s="1600" t="s">
        <v>462</v>
      </c>
      <c r="C133" s="1600"/>
      <c r="D133" s="1600" t="s">
        <v>463</v>
      </c>
      <c r="E133" s="324">
        <f>SUM(E131:E132)</f>
        <v>0</v>
      </c>
      <c r="F133" s="324">
        <f>SUM(F131:F132)</f>
        <v>0</v>
      </c>
      <c r="G133" s="324">
        <f>SUM(G131:G132)</f>
        <v>0</v>
      </c>
      <c r="H133" s="324" t="e">
        <f t="shared" si="1"/>
        <v>#DIV/0!</v>
      </c>
    </row>
    <row r="134" spans="1:12" ht="19.5" customHeight="1" x14ac:dyDescent="0.25">
      <c r="A134" s="1600" t="s">
        <v>523</v>
      </c>
      <c r="B134" s="1600"/>
      <c r="C134" s="1600"/>
      <c r="D134" s="1600"/>
      <c r="E134" s="324">
        <f>E130+E133</f>
        <v>358195</v>
      </c>
      <c r="F134" s="324">
        <f>F130+F133</f>
        <v>0</v>
      </c>
      <c r="G134" s="324">
        <f>G130+G133</f>
        <v>0</v>
      </c>
      <c r="H134" s="324" t="e">
        <f t="shared" si="1"/>
        <v>#DIV/0!</v>
      </c>
    </row>
    <row r="135" spans="1:12" s="301" customFormat="1" ht="16.5" x14ac:dyDescent="0.25">
      <c r="A135" s="296"/>
      <c r="B135" s="297" t="s">
        <v>524</v>
      </c>
      <c r="C135" s="298"/>
      <c r="D135" s="299" t="s">
        <v>525</v>
      </c>
      <c r="E135" s="300">
        <f>E136+E137</f>
        <v>0</v>
      </c>
      <c r="F135" s="300">
        <f>F136+F137</f>
        <v>0</v>
      </c>
      <c r="G135" s="300">
        <f>G136+G137</f>
        <v>0</v>
      </c>
      <c r="H135" s="300"/>
    </row>
    <row r="136" spans="1:12" s="307" customFormat="1" ht="15" x14ac:dyDescent="0.25">
      <c r="A136" s="302"/>
      <c r="B136" s="303" t="s">
        <v>526</v>
      </c>
      <c r="C136" s="304"/>
      <c r="D136" s="305" t="s">
        <v>527</v>
      </c>
      <c r="E136" s="306"/>
      <c r="F136" s="306"/>
      <c r="G136" s="306"/>
      <c r="H136" s="306"/>
    </row>
    <row r="137" spans="1:12" s="307" customFormat="1" ht="15" x14ac:dyDescent="0.25">
      <c r="A137" s="302"/>
      <c r="B137" s="303" t="s">
        <v>528</v>
      </c>
      <c r="C137" s="304"/>
      <c r="D137" s="305" t="s">
        <v>529</v>
      </c>
      <c r="E137" s="306">
        <v>0</v>
      </c>
      <c r="F137" s="306">
        <v>0</v>
      </c>
      <c r="G137" s="306">
        <v>0</v>
      </c>
      <c r="H137" s="306"/>
    </row>
    <row r="138" spans="1:12" ht="19.5" customHeight="1" x14ac:dyDescent="0.25">
      <c r="A138" s="1600" t="s">
        <v>530</v>
      </c>
      <c r="B138" s="1600"/>
      <c r="C138" s="1600"/>
      <c r="D138" s="1600"/>
      <c r="E138" s="324">
        <f>E135</f>
        <v>0</v>
      </c>
      <c r="F138" s="324">
        <f>F135</f>
        <v>0</v>
      </c>
      <c r="G138" s="324">
        <f>G135</f>
        <v>0</v>
      </c>
      <c r="H138" s="324"/>
    </row>
    <row r="139" spans="1:12" ht="19.5" customHeight="1" x14ac:dyDescent="0.25">
      <c r="A139" s="1594" t="s">
        <v>531</v>
      </c>
      <c r="B139" s="1594"/>
      <c r="C139" s="1594"/>
      <c r="D139" s="1594"/>
      <c r="E139" s="295">
        <f>E138+E134</f>
        <v>358195</v>
      </c>
      <c r="F139" s="295">
        <f>F138+F134</f>
        <v>0</v>
      </c>
      <c r="G139" s="295">
        <f>G138+G134</f>
        <v>0</v>
      </c>
      <c r="H139" s="295" t="e">
        <f>G139/F139*100</f>
        <v>#DIV/0!</v>
      </c>
    </row>
    <row r="140" spans="1:12" s="301" customFormat="1" ht="16.5" x14ac:dyDescent="0.25">
      <c r="A140" s="334"/>
      <c r="B140" s="297"/>
      <c r="C140" s="298"/>
      <c r="D140" s="299" t="s">
        <v>532</v>
      </c>
      <c r="E140" s="300"/>
      <c r="F140" s="300"/>
      <c r="G140" s="300"/>
      <c r="H140" s="300"/>
    </row>
    <row r="141" spans="1:12" ht="21.75" customHeight="1" x14ac:dyDescent="0.3">
      <c r="A141" s="336" t="s">
        <v>533</v>
      </c>
      <c r="B141" s="337"/>
      <c r="C141" s="338"/>
      <c r="D141" s="339"/>
      <c r="E141" s="340">
        <f>E139+E95</f>
        <v>2587544</v>
      </c>
      <c r="F141" s="340">
        <f>F139+F95</f>
        <v>0</v>
      </c>
      <c r="G141" s="340">
        <f>G139+G95</f>
        <v>0</v>
      </c>
      <c r="H141" s="340" t="e">
        <f>G141/F141*100</f>
        <v>#DIV/0!</v>
      </c>
    </row>
    <row r="142" spans="1:12" ht="21.75" customHeight="1" x14ac:dyDescent="0.3">
      <c r="A142" s="1602" t="s">
        <v>534</v>
      </c>
      <c r="B142" s="1602"/>
      <c r="C142" s="1602"/>
      <c r="D142" s="1602"/>
      <c r="E142" s="341">
        <v>0</v>
      </c>
      <c r="F142" s="341">
        <v>0</v>
      </c>
      <c r="G142" s="341">
        <v>0</v>
      </c>
      <c r="H142" s="341"/>
    </row>
    <row r="143" spans="1:12" s="301" customFormat="1" ht="28.5" customHeight="1" x14ac:dyDescent="0.25">
      <c r="A143" s="1601" t="s">
        <v>535</v>
      </c>
      <c r="B143" s="1601"/>
      <c r="C143" s="1601"/>
      <c r="D143" s="1601"/>
      <c r="E143" s="342">
        <f>SUM(E141+E142)+E140</f>
        <v>2587544</v>
      </c>
      <c r="F143" s="342">
        <f>SUM(F141+F142)+F140</f>
        <v>0</v>
      </c>
      <c r="G143" s="342">
        <f>SUM(G141+G142)+G140</f>
        <v>0</v>
      </c>
      <c r="H143" s="342" t="e">
        <f>G143/F143*100</f>
        <v>#DIV/0!</v>
      </c>
    </row>
  </sheetData>
  <sheetProtection selectLockedCells="1" selectUnlockedCells="1"/>
  <mergeCells count="58">
    <mergeCell ref="A143:D143"/>
    <mergeCell ref="A130:D130"/>
    <mergeCell ref="A133:D133"/>
    <mergeCell ref="A134:D134"/>
    <mergeCell ref="A138:D138"/>
    <mergeCell ref="A139:D139"/>
    <mergeCell ref="A142:D142"/>
    <mergeCell ref="B100:C100"/>
    <mergeCell ref="B101:C101"/>
    <mergeCell ref="B117:C117"/>
    <mergeCell ref="B123:C123"/>
    <mergeCell ref="B124:C124"/>
    <mergeCell ref="A85:D85"/>
    <mergeCell ref="A88:D88"/>
    <mergeCell ref="A89:D89"/>
    <mergeCell ref="A94:D94"/>
    <mergeCell ref="A95:D95"/>
    <mergeCell ref="B60:C60"/>
    <mergeCell ref="B61:C61"/>
    <mergeCell ref="B65:C65"/>
    <mergeCell ref="B67:C67"/>
    <mergeCell ref="B68:C68"/>
    <mergeCell ref="B54:C54"/>
    <mergeCell ref="B55:C55"/>
    <mergeCell ref="B56:C56"/>
    <mergeCell ref="B57:C57"/>
    <mergeCell ref="B59:C59"/>
    <mergeCell ref="B41:C41"/>
    <mergeCell ref="B50:C50"/>
    <mergeCell ref="B51:C51"/>
    <mergeCell ref="B52:C52"/>
    <mergeCell ref="B53:C53"/>
    <mergeCell ref="B35:C35"/>
    <mergeCell ref="B36:C36"/>
    <mergeCell ref="B38:C38"/>
    <mergeCell ref="B39:C39"/>
    <mergeCell ref="B40:C40"/>
    <mergeCell ref="B32:C32"/>
    <mergeCell ref="B33:C33"/>
    <mergeCell ref="B34:C34"/>
    <mergeCell ref="B21:C21"/>
    <mergeCell ref="B22:C22"/>
    <mergeCell ref="B23:C23"/>
    <mergeCell ref="B17:C17"/>
    <mergeCell ref="B18:C18"/>
    <mergeCell ref="B19:C19"/>
    <mergeCell ref="B20:C20"/>
    <mergeCell ref="B31:C31"/>
    <mergeCell ref="B10:C10"/>
    <mergeCell ref="B11:C11"/>
    <mergeCell ref="B12:C12"/>
    <mergeCell ref="B13:C13"/>
    <mergeCell ref="B14:C14"/>
    <mergeCell ref="A1:C1"/>
    <mergeCell ref="A3:D3"/>
    <mergeCell ref="B6:C6"/>
    <mergeCell ref="B8:C8"/>
    <mergeCell ref="B9:C9"/>
  </mergeCells>
  <printOptions horizontalCentered="1"/>
  <pageMargins left="0.19685039370078741" right="0" top="0.94488188976377963" bottom="0.59055118110236227" header="0.31496062992125984" footer="0.11811023622047245"/>
  <pageSetup paperSize="9" firstPageNumber="54" orientation="portrait" useFirstPageNumber="1" r:id="rId1"/>
  <headerFooter alignWithMargins="0">
    <oddHeader>&amp;C&amp;"Times New Roman,Félkövér"&amp;14
Vecsés Város Önkormányzat 2013. évi bevételei forrásonként&amp;R&amp;"Times New Roman,Normál"&amp;12 3.1. sz. melléklet
Ezer Ft</oddHeader>
    <oddFooter>&amp;C- &amp;P -</oddFooter>
  </headerFooter>
  <rowBreaks count="2" manualBreakCount="2">
    <brk id="46" max="16383" man="1"/>
    <brk id="9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1"/>
  <sheetViews>
    <sheetView view="pageBreakPreview" topLeftCell="A26" zoomScale="120" zoomScaleSheetLayoutView="120" workbookViewId="0">
      <selection activeCell="D46" sqref="D46"/>
    </sheetView>
  </sheetViews>
  <sheetFormatPr defaultRowHeight="12.75" x14ac:dyDescent="0.2"/>
  <cols>
    <col min="1" max="1" width="2.5" style="286" customWidth="1"/>
    <col min="2" max="2" width="3" style="287" customWidth="1"/>
    <col min="3" max="3" width="8.83203125" style="287" customWidth="1"/>
    <col min="4" max="4" width="65.1640625" style="286" customWidth="1"/>
    <col min="5" max="5" width="13.5" style="286" customWidth="1"/>
    <col min="6" max="7" width="13.5" style="286" hidden="1" customWidth="1"/>
    <col min="8" max="8" width="6.1640625" style="286" hidden="1" customWidth="1"/>
    <col min="9" max="10" width="10.6640625" style="286" bestFit="1" customWidth="1"/>
    <col min="11" max="11" width="9.33203125" style="335"/>
    <col min="12" max="15" width="9.33203125" style="286"/>
    <col min="16" max="16" width="15.83203125" style="286" customWidth="1"/>
    <col min="17" max="17" width="20.33203125" style="286" customWidth="1"/>
    <col min="18" max="18" width="10.5" style="286" customWidth="1"/>
    <col min="19" max="16384" width="9.33203125" style="286"/>
  </cols>
  <sheetData>
    <row r="1" spans="1:12" ht="48" customHeight="1" x14ac:dyDescent="0.2">
      <c r="A1" s="1603" t="s">
        <v>326</v>
      </c>
      <c r="B1" s="1603"/>
      <c r="C1" s="1603"/>
      <c r="D1" s="343" t="s">
        <v>264</v>
      </c>
      <c r="E1" s="289" t="s">
        <v>1489</v>
      </c>
      <c r="F1" s="289" t="s">
        <v>1432</v>
      </c>
      <c r="G1" s="289" t="s">
        <v>1433</v>
      </c>
      <c r="H1" s="289" t="s">
        <v>3</v>
      </c>
    </row>
    <row r="2" spans="1:12" ht="20.25" x14ac:dyDescent="0.3">
      <c r="A2" s="1604" t="s">
        <v>536</v>
      </c>
      <c r="B2" s="1604"/>
      <c r="C2" s="1604"/>
      <c r="D2" s="1604"/>
      <c r="E2" s="1604"/>
      <c r="F2" s="344"/>
      <c r="G2" s="344"/>
      <c r="H2" s="344"/>
      <c r="K2" s="286"/>
    </row>
    <row r="3" spans="1:12" ht="19.5" customHeight="1" x14ac:dyDescent="0.25">
      <c r="A3" s="1605" t="s">
        <v>537</v>
      </c>
      <c r="B3" s="1605"/>
      <c r="C3" s="1605"/>
      <c r="D3" s="1605"/>
      <c r="E3" s="345"/>
      <c r="F3" s="345"/>
      <c r="G3" s="345"/>
      <c r="H3" s="345"/>
      <c r="I3" s="346"/>
      <c r="J3" s="346"/>
      <c r="K3" s="346"/>
    </row>
    <row r="4" spans="1:12" ht="15" x14ac:dyDescent="0.25">
      <c r="A4" s="347"/>
      <c r="B4" s="348" t="s">
        <v>103</v>
      </c>
      <c r="C4" s="349"/>
      <c r="D4" s="350" t="s">
        <v>538</v>
      </c>
      <c r="E4" s="294">
        <f>SUM(E5:E6)</f>
        <v>0</v>
      </c>
      <c r="F4" s="294">
        <f>SUM(F5:F6)</f>
        <v>0</v>
      </c>
      <c r="G4" s="294">
        <f>SUM(G5:G6)</f>
        <v>0</v>
      </c>
      <c r="H4" s="294"/>
      <c r="L4" s="335"/>
    </row>
    <row r="5" spans="1:12" s="315" customFormat="1" ht="15" hidden="1" x14ac:dyDescent="0.25">
      <c r="A5" s="347"/>
      <c r="B5" s="351"/>
      <c r="C5" s="352" t="s">
        <v>186</v>
      </c>
      <c r="D5" s="321"/>
      <c r="E5" s="353"/>
      <c r="F5" s="353"/>
      <c r="G5" s="353"/>
      <c r="H5" s="353"/>
      <c r="K5" s="354"/>
      <c r="L5" s="354"/>
    </row>
    <row r="6" spans="1:12" ht="15" hidden="1" x14ac:dyDescent="0.25">
      <c r="A6" s="347"/>
      <c r="B6" s="351"/>
      <c r="C6" s="352" t="s">
        <v>188</v>
      </c>
      <c r="D6" s="321"/>
      <c r="E6" s="353"/>
      <c r="F6" s="353"/>
      <c r="G6" s="353"/>
      <c r="H6" s="353"/>
      <c r="L6" s="335"/>
    </row>
    <row r="7" spans="1:12" ht="15" x14ac:dyDescent="0.25">
      <c r="A7" s="308"/>
      <c r="B7" s="291" t="s">
        <v>105</v>
      </c>
      <c r="C7" s="292"/>
      <c r="D7" s="355" t="s">
        <v>1953</v>
      </c>
      <c r="E7" s="356">
        <f>E8+E11+E9</f>
        <v>6000</v>
      </c>
      <c r="F7" s="356">
        <f>F8+F11+F9</f>
        <v>0</v>
      </c>
      <c r="G7" s="356">
        <f>G8+G11+G9</f>
        <v>0</v>
      </c>
      <c r="H7" s="356"/>
      <c r="L7" s="335"/>
    </row>
    <row r="8" spans="1:12" s="307" customFormat="1" ht="15" hidden="1" x14ac:dyDescent="0.25">
      <c r="A8" s="357"/>
      <c r="B8" s="358"/>
      <c r="C8" s="359" t="s">
        <v>191</v>
      </c>
      <c r="D8" s="360"/>
      <c r="E8" s="361"/>
      <c r="F8" s="361"/>
      <c r="G8" s="361"/>
      <c r="H8" s="361"/>
      <c r="K8" s="362"/>
      <c r="L8" s="362"/>
    </row>
    <row r="9" spans="1:12" s="315" customFormat="1" ht="15" hidden="1" x14ac:dyDescent="0.25">
      <c r="A9" s="308"/>
      <c r="B9" s="363"/>
      <c r="C9" s="352" t="s">
        <v>193</v>
      </c>
      <c r="D9" s="321"/>
      <c r="E9" s="310"/>
      <c r="F9" s="310"/>
      <c r="G9" s="310"/>
      <c r="H9" s="310"/>
      <c r="K9" s="354"/>
      <c r="L9" s="354"/>
    </row>
    <row r="10" spans="1:12" s="315" customFormat="1" ht="15" hidden="1" x14ac:dyDescent="0.25">
      <c r="A10" s="308"/>
      <c r="B10" s="363"/>
      <c r="C10" s="364" t="s">
        <v>193</v>
      </c>
      <c r="D10" s="321" t="s">
        <v>540</v>
      </c>
      <c r="E10" s="310"/>
      <c r="F10" s="310"/>
      <c r="G10" s="310"/>
      <c r="H10" s="310"/>
      <c r="K10" s="354"/>
      <c r="L10" s="354"/>
    </row>
    <row r="11" spans="1:12" s="307" customFormat="1" ht="15" x14ac:dyDescent="0.25">
      <c r="A11" s="302"/>
      <c r="B11" s="303"/>
      <c r="C11" s="352" t="s">
        <v>386</v>
      </c>
      <c r="D11" s="321" t="s">
        <v>1954</v>
      </c>
      <c r="E11" s="310">
        <f>E12</f>
        <v>6000</v>
      </c>
      <c r="F11" s="310">
        <f>F12</f>
        <v>0</v>
      </c>
      <c r="G11" s="310">
        <f>G12</f>
        <v>0</v>
      </c>
      <c r="H11" s="310"/>
      <c r="K11" s="362"/>
      <c r="L11" s="362"/>
    </row>
    <row r="12" spans="1:12" ht="15" x14ac:dyDescent="0.25">
      <c r="A12" s="308"/>
      <c r="B12" s="291"/>
      <c r="C12" s="365" t="s">
        <v>541</v>
      </c>
      <c r="D12" s="366" t="s">
        <v>1955</v>
      </c>
      <c r="E12" s="1033">
        <v>6000</v>
      </c>
      <c r="F12" s="367">
        <v>0</v>
      </c>
      <c r="G12" s="367">
        <v>0</v>
      </c>
      <c r="H12" s="367"/>
    </row>
    <row r="13" spans="1:12" ht="15" x14ac:dyDescent="0.25">
      <c r="A13" s="308"/>
      <c r="B13" s="291" t="s">
        <v>107</v>
      </c>
      <c r="C13" s="292"/>
      <c r="D13" s="355" t="s">
        <v>203</v>
      </c>
      <c r="E13" s="356">
        <f>E14+E19</f>
        <v>131841</v>
      </c>
      <c r="F13" s="356">
        <f>F14+F19</f>
        <v>0</v>
      </c>
      <c r="G13" s="356">
        <f>G14+G19</f>
        <v>0</v>
      </c>
      <c r="H13" s="356" t="e">
        <f t="shared" ref="H13:H108" si="0">G13/F13*100</f>
        <v>#DIV/0!</v>
      </c>
      <c r="L13" s="335"/>
    </row>
    <row r="14" spans="1:12" s="307" customFormat="1" ht="15" x14ac:dyDescent="0.25">
      <c r="A14" s="302"/>
      <c r="B14" s="303"/>
      <c r="C14" s="304" t="s">
        <v>543</v>
      </c>
      <c r="D14" s="305" t="s">
        <v>544</v>
      </c>
      <c r="E14" s="306">
        <f>SUM(E15:E18)</f>
        <v>127841</v>
      </c>
      <c r="F14" s="306">
        <f>SUM(F15:F18)</f>
        <v>0</v>
      </c>
      <c r="G14" s="306">
        <f>SUM(G15:G18)</f>
        <v>0</v>
      </c>
      <c r="H14" s="306" t="e">
        <f t="shared" si="0"/>
        <v>#DIV/0!</v>
      </c>
      <c r="K14" s="362"/>
      <c r="L14" s="362"/>
    </row>
    <row r="15" spans="1:12" ht="15" x14ac:dyDescent="0.25">
      <c r="A15" s="308"/>
      <c r="B15" s="291"/>
      <c r="C15" s="364" t="s">
        <v>545</v>
      </c>
      <c r="D15" s="309" t="s">
        <v>546</v>
      </c>
      <c r="E15" s="310">
        <v>50000</v>
      </c>
      <c r="F15" s="310"/>
      <c r="G15" s="310"/>
      <c r="H15" s="310" t="e">
        <f t="shared" si="0"/>
        <v>#DIV/0!</v>
      </c>
      <c r="L15" s="335"/>
    </row>
    <row r="16" spans="1:12" ht="15" x14ac:dyDescent="0.25">
      <c r="A16" s="308"/>
      <c r="B16" s="291"/>
      <c r="C16" s="364" t="s">
        <v>547</v>
      </c>
      <c r="D16" s="309" t="s">
        <v>548</v>
      </c>
      <c r="E16" s="310">
        <v>15000</v>
      </c>
      <c r="F16" s="310"/>
      <c r="G16" s="310"/>
      <c r="H16" s="310"/>
      <c r="L16" s="335"/>
    </row>
    <row r="17" spans="1:12" ht="15" customHeight="1" x14ac:dyDescent="0.25">
      <c r="A17" s="1027"/>
      <c r="B17" s="1028"/>
      <c r="C17" s="1029" t="s">
        <v>549</v>
      </c>
      <c r="D17" s="1030" t="s">
        <v>550</v>
      </c>
      <c r="E17" s="1017">
        <v>32000</v>
      </c>
      <c r="F17" s="368"/>
      <c r="G17" s="368"/>
      <c r="H17" s="368" t="e">
        <f t="shared" si="0"/>
        <v>#DIV/0!</v>
      </c>
    </row>
    <row r="18" spans="1:12" s="1031" customFormat="1" ht="15" customHeight="1" x14ac:dyDescent="0.25">
      <c r="A18" s="1027"/>
      <c r="B18" s="1028"/>
      <c r="C18" s="1029" t="s">
        <v>551</v>
      </c>
      <c r="D18" s="1030" t="s">
        <v>1485</v>
      </c>
      <c r="E18" s="1017">
        <v>30841</v>
      </c>
      <c r="F18" s="1017"/>
      <c r="G18" s="1017"/>
      <c r="H18" s="1017" t="e">
        <f t="shared" si="0"/>
        <v>#DIV/0!</v>
      </c>
      <c r="K18" s="1032"/>
    </row>
    <row r="19" spans="1:12" s="307" customFormat="1" ht="14.25" customHeight="1" x14ac:dyDescent="0.25">
      <c r="A19" s="302"/>
      <c r="B19" s="303"/>
      <c r="C19" s="304" t="s">
        <v>552</v>
      </c>
      <c r="D19" s="305" t="s">
        <v>553</v>
      </c>
      <c r="E19" s="306">
        <f>E20</f>
        <v>4000</v>
      </c>
      <c r="F19" s="306">
        <f>F20</f>
        <v>0</v>
      </c>
      <c r="G19" s="306">
        <f>G20</f>
        <v>0</v>
      </c>
      <c r="H19" s="306"/>
      <c r="K19" s="362"/>
      <c r="L19" s="362"/>
    </row>
    <row r="20" spans="1:12" ht="15" x14ac:dyDescent="0.25">
      <c r="A20" s="308"/>
      <c r="B20" s="291"/>
      <c r="C20" s="364" t="s">
        <v>400</v>
      </c>
      <c r="D20" s="369" t="s">
        <v>554</v>
      </c>
      <c r="E20" s="310">
        <v>4000</v>
      </c>
      <c r="F20" s="310">
        <v>0</v>
      </c>
      <c r="G20" s="310">
        <v>0</v>
      </c>
      <c r="H20" s="310"/>
    </row>
    <row r="21" spans="1:12" s="370" customFormat="1" ht="14.25" x14ac:dyDescent="0.2">
      <c r="A21" s="290"/>
      <c r="B21" s="291" t="s">
        <v>437</v>
      </c>
      <c r="C21" s="292"/>
      <c r="D21" s="355" t="s">
        <v>112</v>
      </c>
      <c r="F21" s="356">
        <f>SUM(F22:F23)</f>
        <v>0</v>
      </c>
      <c r="G21" s="356">
        <f>SUM(G22:G23)</f>
        <v>0</v>
      </c>
      <c r="H21" s="356" t="e">
        <f t="shared" si="0"/>
        <v>#DIV/0!</v>
      </c>
      <c r="K21" s="371"/>
      <c r="L21" s="371"/>
    </row>
    <row r="22" spans="1:12" s="377" customFormat="1" ht="29.25" customHeight="1" x14ac:dyDescent="0.25">
      <c r="A22" s="372"/>
      <c r="B22" s="373"/>
      <c r="C22" s="374" t="s">
        <v>437</v>
      </c>
      <c r="D22" s="375" t="s">
        <v>1956</v>
      </c>
      <c r="E22" s="376"/>
      <c r="F22" s="376"/>
      <c r="G22" s="376"/>
      <c r="H22" s="376" t="e">
        <f>G22/F22*100</f>
        <v>#DIV/0!</v>
      </c>
      <c r="K22" s="378"/>
      <c r="L22" s="378"/>
    </row>
    <row r="23" spans="1:12" s="370" customFormat="1" ht="29.25" customHeight="1" x14ac:dyDescent="0.25">
      <c r="A23" s="290"/>
      <c r="B23" s="291"/>
      <c r="C23" s="364" t="s">
        <v>1395</v>
      </c>
      <c r="D23" s="369" t="s">
        <v>1957</v>
      </c>
      <c r="E23" s="310">
        <f>SUM('4. sz. mell.'!D19)</f>
        <v>0</v>
      </c>
      <c r="F23" s="310"/>
      <c r="G23" s="310"/>
      <c r="H23" s="310" t="e">
        <f>G23/F23*100</f>
        <v>#DIV/0!</v>
      </c>
      <c r="K23" s="371"/>
      <c r="L23" s="371"/>
    </row>
    <row r="24" spans="1:12" s="370" customFormat="1" ht="15" x14ac:dyDescent="0.25">
      <c r="A24" s="290"/>
      <c r="B24" s="291" t="s">
        <v>555</v>
      </c>
      <c r="C24" s="364"/>
      <c r="D24" s="355" t="s">
        <v>1383</v>
      </c>
      <c r="E24" s="356">
        <f>SUM(E25:E29)</f>
        <v>1312577</v>
      </c>
      <c r="F24" s="356">
        <f>SUM(F25:F29)</f>
        <v>0</v>
      </c>
      <c r="G24" s="356" t="e">
        <f>SUM(G25:G29)</f>
        <v>#REF!</v>
      </c>
      <c r="H24" s="356" t="e">
        <f>G24/F24*100</f>
        <v>#REF!</v>
      </c>
      <c r="K24" s="371"/>
      <c r="L24" s="371"/>
    </row>
    <row r="25" spans="1:12" s="370" customFormat="1" ht="29.25" customHeight="1" x14ac:dyDescent="0.25">
      <c r="A25" s="379"/>
      <c r="B25" s="380"/>
      <c r="C25" s="381" t="s">
        <v>555</v>
      </c>
      <c r="D25" s="369" t="s">
        <v>1958</v>
      </c>
      <c r="E25" s="368">
        <f>SUM('5.11 sz. mell '!D27)</f>
        <v>82049</v>
      </c>
      <c r="F25" s="368">
        <f>'5.11 sz. mell '!E27</f>
        <v>0</v>
      </c>
      <c r="G25" s="368" t="e">
        <f>'5.11 sz. mell '!F27</f>
        <v>#REF!</v>
      </c>
      <c r="H25" s="368" t="e">
        <f t="shared" si="0"/>
        <v>#REF!</v>
      </c>
      <c r="K25" s="371"/>
      <c r="L25" s="371"/>
    </row>
    <row r="26" spans="1:12" s="370" customFormat="1" ht="29.25" customHeight="1" x14ac:dyDescent="0.25">
      <c r="A26" s="290"/>
      <c r="B26" s="291"/>
      <c r="C26" s="364" t="s">
        <v>556</v>
      </c>
      <c r="D26" s="369" t="s">
        <v>1959</v>
      </c>
      <c r="E26" s="310">
        <f>'5. sz. mell. '!D40-'5.11 sz. mell '!D27</f>
        <v>199978</v>
      </c>
      <c r="F26" s="310">
        <f>'5. sz. mell. '!E40-'5.11 sz. mell '!E27</f>
        <v>0</v>
      </c>
      <c r="G26" s="310" t="e">
        <f>'5. sz. mell. '!F40-'5.11 sz. mell '!F27</f>
        <v>#REF!</v>
      </c>
      <c r="H26" s="310" t="e">
        <f t="shared" si="0"/>
        <v>#REF!</v>
      </c>
      <c r="I26" s="371"/>
      <c r="J26" s="371"/>
      <c r="K26" s="371"/>
      <c r="L26" s="371"/>
    </row>
    <row r="27" spans="1:12" s="370" customFormat="1" ht="29.25" customHeight="1" x14ac:dyDescent="0.25">
      <c r="A27" s="290"/>
      <c r="B27" s="291"/>
      <c r="C27" s="364" t="s">
        <v>557</v>
      </c>
      <c r="D27" s="369" t="s">
        <v>1960</v>
      </c>
      <c r="E27" s="310">
        <f>SUM('5. sz. mell. '!D20)</f>
        <v>427277</v>
      </c>
      <c r="F27" s="310">
        <f>SUM('5. sz. mell. '!E20)</f>
        <v>0</v>
      </c>
      <c r="G27" s="310">
        <f>SUM('5. sz. mell. '!F20)</f>
        <v>0</v>
      </c>
      <c r="H27" s="310" t="e">
        <f t="shared" si="0"/>
        <v>#DIV/0!</v>
      </c>
      <c r="K27" s="371"/>
      <c r="L27" s="371"/>
    </row>
    <row r="28" spans="1:12" s="370" customFormat="1" ht="29.25" customHeight="1" x14ac:dyDescent="0.25">
      <c r="A28" s="290"/>
      <c r="B28" s="291"/>
      <c r="C28" s="364" t="s">
        <v>558</v>
      </c>
      <c r="D28" s="369" t="s">
        <v>1961</v>
      </c>
      <c r="E28" s="310">
        <f>SUM('4. sz. mell.'!D28)</f>
        <v>548607</v>
      </c>
      <c r="F28" s="310">
        <f>SUM('4. sz. mell.'!E28)</f>
        <v>0</v>
      </c>
      <c r="G28" s="310">
        <f>SUM('4. sz. mell.'!F28)</f>
        <v>0</v>
      </c>
      <c r="H28" s="310" t="e">
        <f t="shared" si="0"/>
        <v>#DIV/0!</v>
      </c>
      <c r="K28" s="371"/>
      <c r="L28" s="371"/>
    </row>
    <row r="29" spans="1:12" s="370" customFormat="1" ht="29.25" customHeight="1" x14ac:dyDescent="0.25">
      <c r="A29" s="290"/>
      <c r="B29" s="291"/>
      <c r="C29" s="364" t="s">
        <v>559</v>
      </c>
      <c r="D29" s="369" t="s">
        <v>1962</v>
      </c>
      <c r="E29" s="310">
        <f>SUM('4. sz. mell.'!D18)</f>
        <v>54666</v>
      </c>
      <c r="F29" s="310">
        <f>SUM('4. sz. mell.'!E18)</f>
        <v>0</v>
      </c>
      <c r="G29" s="310">
        <f>SUM('4. sz. mell.'!F18)</f>
        <v>0</v>
      </c>
      <c r="H29" s="310" t="e">
        <f t="shared" si="0"/>
        <v>#DIV/0!</v>
      </c>
      <c r="K29" s="371"/>
      <c r="L29" s="371"/>
    </row>
    <row r="30" spans="1:12" hidden="1" x14ac:dyDescent="0.2"/>
    <row r="31" spans="1:12" s="370" customFormat="1" ht="14.25" x14ac:dyDescent="0.2">
      <c r="A31" s="290"/>
      <c r="B31" s="291" t="s">
        <v>451</v>
      </c>
      <c r="C31" s="292"/>
      <c r="D31" s="355" t="s">
        <v>560</v>
      </c>
      <c r="E31" s="356"/>
      <c r="F31" s="356"/>
      <c r="G31" s="356"/>
      <c r="H31" s="356"/>
      <c r="K31" s="371"/>
      <c r="L31" s="371"/>
    </row>
    <row r="32" spans="1:12" s="370" customFormat="1" ht="14.25" x14ac:dyDescent="0.2">
      <c r="A32" s="290"/>
      <c r="B32" s="291" t="s">
        <v>454</v>
      </c>
      <c r="C32" s="292"/>
      <c r="D32" s="355" t="s">
        <v>561</v>
      </c>
      <c r="E32" s="356">
        <f>E33+E46+E105+E88</f>
        <v>101646</v>
      </c>
      <c r="F32" s="356">
        <f>F33+F46+F105+F88</f>
        <v>0</v>
      </c>
      <c r="G32" s="356">
        <f>G33+G46+G105+G88</f>
        <v>0</v>
      </c>
      <c r="H32" s="356" t="e">
        <f t="shared" si="0"/>
        <v>#DIV/0!</v>
      </c>
      <c r="K32" s="371"/>
      <c r="L32" s="371"/>
    </row>
    <row r="33" spans="1:11" s="370" customFormat="1" ht="14.25" x14ac:dyDescent="0.2">
      <c r="A33" s="290"/>
      <c r="B33" s="291"/>
      <c r="C33" s="292" t="s">
        <v>562</v>
      </c>
      <c r="D33" s="355" t="s">
        <v>563</v>
      </c>
      <c r="E33" s="356">
        <f>SUM(E34:E43)-E37-E41</f>
        <v>16800</v>
      </c>
      <c r="F33" s="356">
        <f>SUM(F34:F43)-F37-F41</f>
        <v>0</v>
      </c>
      <c r="G33" s="356">
        <f>SUM(G34:G43)-G37-G41</f>
        <v>0</v>
      </c>
      <c r="H33" s="356" t="e">
        <f t="shared" si="0"/>
        <v>#DIV/0!</v>
      </c>
      <c r="K33" s="371"/>
    </row>
    <row r="34" spans="1:11" ht="15" x14ac:dyDescent="0.25">
      <c r="A34" s="290"/>
      <c r="B34" s="291"/>
      <c r="C34" s="364" t="s">
        <v>564</v>
      </c>
      <c r="D34" s="383" t="s">
        <v>565</v>
      </c>
      <c r="E34" s="310">
        <v>1700</v>
      </c>
      <c r="F34" s="310"/>
      <c r="G34" s="310"/>
      <c r="H34" s="310" t="e">
        <f t="shared" si="0"/>
        <v>#DIV/0!</v>
      </c>
    </row>
    <row r="35" spans="1:11" ht="15" x14ac:dyDescent="0.25">
      <c r="A35" s="290"/>
      <c r="B35" s="291"/>
      <c r="C35" s="364" t="s">
        <v>566</v>
      </c>
      <c r="D35" s="383" t="s">
        <v>567</v>
      </c>
      <c r="E35" s="310">
        <v>200</v>
      </c>
      <c r="F35" s="310"/>
      <c r="G35" s="310"/>
      <c r="H35" s="310" t="e">
        <f t="shared" si="0"/>
        <v>#DIV/0!</v>
      </c>
    </row>
    <row r="36" spans="1:11" ht="15" x14ac:dyDescent="0.25">
      <c r="A36" s="290"/>
      <c r="B36" s="291"/>
      <c r="C36" s="364" t="s">
        <v>568</v>
      </c>
      <c r="D36" s="383" t="s">
        <v>569</v>
      </c>
      <c r="E36" s="310">
        <v>6000</v>
      </c>
      <c r="F36" s="310"/>
      <c r="G36" s="310"/>
      <c r="H36" s="310" t="e">
        <f t="shared" si="0"/>
        <v>#DIV/0!</v>
      </c>
    </row>
    <row r="37" spans="1:11" ht="15" hidden="1" x14ac:dyDescent="0.25">
      <c r="A37" s="290"/>
      <c r="B37" s="291"/>
      <c r="C37" s="318" t="s">
        <v>570</v>
      </c>
      <c r="D37" s="383" t="s">
        <v>571</v>
      </c>
      <c r="E37" s="310"/>
      <c r="F37" s="310"/>
      <c r="G37" s="310"/>
      <c r="H37" s="310" t="e">
        <f t="shared" si="0"/>
        <v>#DIV/0!</v>
      </c>
    </row>
    <row r="38" spans="1:11" ht="15" x14ac:dyDescent="0.25">
      <c r="A38" s="290"/>
      <c r="B38" s="291"/>
      <c r="C38" s="364" t="s">
        <v>572</v>
      </c>
      <c r="D38" s="383" t="s">
        <v>573</v>
      </c>
      <c r="E38" s="310">
        <v>200</v>
      </c>
      <c r="F38" s="310"/>
      <c r="G38" s="310"/>
      <c r="H38" s="310" t="e">
        <f t="shared" si="0"/>
        <v>#DIV/0!</v>
      </c>
    </row>
    <row r="39" spans="1:11" ht="15" x14ac:dyDescent="0.25">
      <c r="A39" s="290"/>
      <c r="B39" s="291"/>
      <c r="C39" s="364" t="s">
        <v>574</v>
      </c>
      <c r="D39" s="383" t="s">
        <v>575</v>
      </c>
      <c r="E39" s="310">
        <v>200</v>
      </c>
      <c r="F39" s="310"/>
      <c r="G39" s="310"/>
      <c r="H39" s="310" t="e">
        <f t="shared" si="0"/>
        <v>#DIV/0!</v>
      </c>
    </row>
    <row r="40" spans="1:11" ht="15" x14ac:dyDescent="0.25">
      <c r="A40" s="290"/>
      <c r="B40" s="291"/>
      <c r="C40" s="364" t="s">
        <v>576</v>
      </c>
      <c r="D40" s="383" t="s">
        <v>577</v>
      </c>
      <c r="E40" s="310">
        <v>4000</v>
      </c>
      <c r="F40" s="310"/>
      <c r="G40" s="310"/>
      <c r="H40" s="310" t="e">
        <f t="shared" si="0"/>
        <v>#DIV/0!</v>
      </c>
    </row>
    <row r="41" spans="1:11" ht="15" hidden="1" x14ac:dyDescent="0.25">
      <c r="A41" s="290"/>
      <c r="B41" s="291"/>
      <c r="C41" s="364"/>
      <c r="D41" s="383"/>
      <c r="E41" s="310">
        <v>0</v>
      </c>
      <c r="F41" s="310"/>
      <c r="G41" s="310"/>
      <c r="H41" s="310" t="e">
        <f t="shared" si="0"/>
        <v>#DIV/0!</v>
      </c>
    </row>
    <row r="42" spans="1:11" ht="15" x14ac:dyDescent="0.25">
      <c r="A42" s="290"/>
      <c r="B42" s="291"/>
      <c r="C42" s="364" t="s">
        <v>578</v>
      </c>
      <c r="D42" s="383" t="s">
        <v>579</v>
      </c>
      <c r="E42" s="310">
        <v>500</v>
      </c>
      <c r="F42" s="310"/>
      <c r="G42" s="310"/>
      <c r="H42" s="310" t="e">
        <f t="shared" si="0"/>
        <v>#DIV/0!</v>
      </c>
    </row>
    <row r="43" spans="1:11" ht="15" x14ac:dyDescent="0.25">
      <c r="A43" s="290"/>
      <c r="B43" s="291"/>
      <c r="C43" s="364" t="s">
        <v>580</v>
      </c>
      <c r="D43" s="383" t="s">
        <v>581</v>
      </c>
      <c r="E43" s="310">
        <f>SUM(E44:E45)</f>
        <v>4000</v>
      </c>
      <c r="F43" s="310"/>
      <c r="G43" s="310"/>
      <c r="H43" s="310" t="e">
        <f t="shared" si="0"/>
        <v>#DIV/0!</v>
      </c>
    </row>
    <row r="44" spans="1:11" ht="15" x14ac:dyDescent="0.25">
      <c r="A44" s="290"/>
      <c r="B44" s="291"/>
      <c r="C44" s="318" t="s">
        <v>582</v>
      </c>
      <c r="D44" s="383" t="s">
        <v>583</v>
      </c>
      <c r="E44" s="310">
        <v>2500</v>
      </c>
      <c r="F44" s="310"/>
      <c r="G44" s="310">
        <v>0</v>
      </c>
      <c r="H44" s="310"/>
    </row>
    <row r="45" spans="1:11" ht="15" x14ac:dyDescent="0.25">
      <c r="A45" s="290"/>
      <c r="B45" s="291"/>
      <c r="C45" s="318" t="s">
        <v>584</v>
      </c>
      <c r="D45" s="383" t="s">
        <v>2016</v>
      </c>
      <c r="E45" s="310">
        <v>1500</v>
      </c>
      <c r="F45" s="310">
        <v>0</v>
      </c>
      <c r="G45" s="310">
        <v>0</v>
      </c>
      <c r="H45" s="310"/>
    </row>
    <row r="46" spans="1:11" s="370" customFormat="1" ht="14.25" x14ac:dyDescent="0.2">
      <c r="A46" s="290"/>
      <c r="B46" s="291"/>
      <c r="C46" s="292" t="s">
        <v>585</v>
      </c>
      <c r="D46" s="355" t="s">
        <v>586</v>
      </c>
      <c r="E46" s="356">
        <f>SUM(E47:E57)-E48-E49-E50-E55</f>
        <v>43620</v>
      </c>
      <c r="F46" s="356">
        <f>SUM(F47:F87)-F48-F49-F50-F55</f>
        <v>0</v>
      </c>
      <c r="G46" s="356">
        <f>SUM(G47:G87)-G48-G49-G50-G55</f>
        <v>0</v>
      </c>
      <c r="H46" s="356" t="e">
        <f t="shared" si="0"/>
        <v>#DIV/0!</v>
      </c>
      <c r="K46" s="371"/>
    </row>
    <row r="47" spans="1:11" ht="15" x14ac:dyDescent="0.25">
      <c r="A47" s="290"/>
      <c r="B47" s="291"/>
      <c r="C47" s="364" t="s">
        <v>587</v>
      </c>
      <c r="D47" s="383" t="s">
        <v>588</v>
      </c>
      <c r="E47" s="314">
        <f>SUM(E48:E50)</f>
        <v>24500</v>
      </c>
      <c r="F47" s="314"/>
      <c r="G47" s="314"/>
      <c r="H47" s="314" t="e">
        <f t="shared" si="0"/>
        <v>#DIV/0!</v>
      </c>
    </row>
    <row r="48" spans="1:11" ht="15" x14ac:dyDescent="0.25">
      <c r="A48" s="290"/>
      <c r="B48" s="291"/>
      <c r="C48" s="364" t="s">
        <v>589</v>
      </c>
      <c r="D48" s="383" t="s">
        <v>1508</v>
      </c>
      <c r="E48" s="310">
        <v>17000</v>
      </c>
      <c r="F48" s="310"/>
      <c r="G48" s="310"/>
      <c r="H48" s="310" t="e">
        <f t="shared" si="0"/>
        <v>#DIV/0!</v>
      </c>
    </row>
    <row r="49" spans="1:8" ht="15" x14ac:dyDescent="0.25">
      <c r="A49" s="290"/>
      <c r="B49" s="291"/>
      <c r="C49" s="364" t="s">
        <v>590</v>
      </c>
      <c r="D49" s="383" t="s">
        <v>591</v>
      </c>
      <c r="E49" s="310">
        <v>7500</v>
      </c>
      <c r="F49" s="310"/>
      <c r="G49" s="310"/>
      <c r="H49" s="310" t="e">
        <f t="shared" si="0"/>
        <v>#DIV/0!</v>
      </c>
    </row>
    <row r="50" spans="1:8" ht="15" hidden="1" x14ac:dyDescent="0.25">
      <c r="A50" s="290"/>
      <c r="B50" s="291"/>
      <c r="C50" s="364" t="s">
        <v>592</v>
      </c>
      <c r="D50" s="383" t="s">
        <v>593</v>
      </c>
      <c r="E50" s="310"/>
      <c r="F50" s="310"/>
      <c r="G50" s="310"/>
      <c r="H50" s="310" t="e">
        <f t="shared" si="0"/>
        <v>#DIV/0!</v>
      </c>
    </row>
    <row r="51" spans="1:8" ht="15" x14ac:dyDescent="0.25">
      <c r="A51" s="290"/>
      <c r="B51" s="291"/>
      <c r="C51" s="364" t="s">
        <v>594</v>
      </c>
      <c r="D51" s="383" t="s">
        <v>595</v>
      </c>
      <c r="E51" s="310">
        <v>3500</v>
      </c>
      <c r="F51" s="310"/>
      <c r="G51" s="310"/>
      <c r="H51" s="310" t="e">
        <f t="shared" si="0"/>
        <v>#DIV/0!</v>
      </c>
    </row>
    <row r="52" spans="1:8" ht="15" x14ac:dyDescent="0.25">
      <c r="A52" s="290"/>
      <c r="B52" s="291"/>
      <c r="C52" s="364" t="s">
        <v>596</v>
      </c>
      <c r="D52" s="383" t="s">
        <v>1494</v>
      </c>
      <c r="E52" s="310">
        <v>1500</v>
      </c>
      <c r="F52" s="310"/>
      <c r="G52" s="310"/>
      <c r="H52" s="310" t="e">
        <f t="shared" si="0"/>
        <v>#DIV/0!</v>
      </c>
    </row>
    <row r="53" spans="1:8" ht="15" x14ac:dyDescent="0.25">
      <c r="A53" s="384"/>
      <c r="B53" s="385"/>
      <c r="C53" s="364" t="s">
        <v>597</v>
      </c>
      <c r="D53" s="386" t="s">
        <v>598</v>
      </c>
      <c r="E53" s="387">
        <v>7620</v>
      </c>
      <c r="F53" s="387"/>
      <c r="G53" s="387"/>
      <c r="H53" s="387" t="e">
        <f t="shared" si="0"/>
        <v>#DIV/0!</v>
      </c>
    </row>
    <row r="54" spans="1:8" ht="15" x14ac:dyDescent="0.25">
      <c r="A54" s="384"/>
      <c r="B54" s="385"/>
      <c r="C54" s="364" t="s">
        <v>599</v>
      </c>
      <c r="D54" s="388" t="s">
        <v>600</v>
      </c>
      <c r="E54" s="387">
        <v>6000</v>
      </c>
      <c r="F54" s="387"/>
      <c r="G54" s="387"/>
      <c r="H54" s="387" t="e">
        <f t="shared" si="0"/>
        <v>#DIV/0!</v>
      </c>
    </row>
    <row r="55" spans="1:8" ht="15" x14ac:dyDescent="0.25">
      <c r="A55" s="384"/>
      <c r="B55" s="385"/>
      <c r="C55" s="364" t="s">
        <v>601</v>
      </c>
      <c r="D55" s="389" t="s">
        <v>602</v>
      </c>
      <c r="E55" s="390">
        <v>2500</v>
      </c>
      <c r="F55" s="390"/>
      <c r="G55" s="390"/>
      <c r="H55" s="390" t="e">
        <f t="shared" si="0"/>
        <v>#DIV/0!</v>
      </c>
    </row>
    <row r="56" spans="1:8" ht="15" x14ac:dyDescent="0.25">
      <c r="A56" s="384"/>
      <c r="B56" s="385"/>
      <c r="C56" s="364" t="s">
        <v>603</v>
      </c>
      <c r="D56" s="386" t="s">
        <v>604</v>
      </c>
      <c r="E56" s="387">
        <v>500</v>
      </c>
      <c r="F56" s="387"/>
      <c r="G56" s="387"/>
      <c r="H56" s="387" t="e">
        <f t="shared" si="0"/>
        <v>#DIV/0!</v>
      </c>
    </row>
    <row r="57" spans="1:8" ht="15" hidden="1" x14ac:dyDescent="0.25">
      <c r="A57" s="384"/>
      <c r="B57" s="385"/>
      <c r="C57" s="364" t="s">
        <v>605</v>
      </c>
      <c r="D57" s="388"/>
      <c r="E57" s="387"/>
      <c r="F57" s="387"/>
      <c r="G57" s="387"/>
      <c r="H57" s="387" t="e">
        <f t="shared" si="0"/>
        <v>#DIV/0!</v>
      </c>
    </row>
    <row r="58" spans="1:8" ht="15" hidden="1" x14ac:dyDescent="0.25">
      <c r="A58" s="384"/>
      <c r="B58" s="385"/>
      <c r="C58" s="364" t="s">
        <v>606</v>
      </c>
      <c r="D58" s="388" t="s">
        <v>607</v>
      </c>
      <c r="E58" s="387"/>
      <c r="F58" s="387"/>
      <c r="G58" s="387"/>
      <c r="H58" s="387" t="e">
        <f t="shared" si="0"/>
        <v>#DIV/0!</v>
      </c>
    </row>
    <row r="59" spans="1:8" ht="15" hidden="1" x14ac:dyDescent="0.25">
      <c r="A59" s="384"/>
      <c r="B59" s="385"/>
      <c r="C59" s="364" t="s">
        <v>608</v>
      </c>
      <c r="D59" s="388" t="s">
        <v>609</v>
      </c>
      <c r="E59" s="387"/>
      <c r="F59" s="387"/>
      <c r="G59" s="387"/>
      <c r="H59" s="387" t="e">
        <f t="shared" si="0"/>
        <v>#DIV/0!</v>
      </c>
    </row>
    <row r="60" spans="1:8" ht="15" hidden="1" x14ac:dyDescent="0.25">
      <c r="A60" s="384"/>
      <c r="B60" s="385"/>
      <c r="C60" s="364" t="s">
        <v>610</v>
      </c>
      <c r="D60" s="388" t="s">
        <v>611</v>
      </c>
      <c r="E60" s="387"/>
      <c r="F60" s="387"/>
      <c r="G60" s="387"/>
      <c r="H60" s="387" t="e">
        <f t="shared" si="0"/>
        <v>#DIV/0!</v>
      </c>
    </row>
    <row r="61" spans="1:8" ht="15" hidden="1" x14ac:dyDescent="0.25">
      <c r="A61" s="384"/>
      <c r="B61" s="385"/>
      <c r="C61" s="364" t="s">
        <v>612</v>
      </c>
      <c r="D61" s="388" t="s">
        <v>613</v>
      </c>
      <c r="E61" s="387"/>
      <c r="F61" s="387"/>
      <c r="G61" s="387"/>
      <c r="H61" s="387" t="e">
        <f t="shared" si="0"/>
        <v>#DIV/0!</v>
      </c>
    </row>
    <row r="62" spans="1:8" ht="15" hidden="1" x14ac:dyDescent="0.25">
      <c r="A62" s="384"/>
      <c r="B62" s="385"/>
      <c r="C62" s="364" t="s">
        <v>614</v>
      </c>
      <c r="D62" s="388" t="s">
        <v>615</v>
      </c>
      <c r="E62" s="387"/>
      <c r="F62" s="387"/>
      <c r="G62" s="387"/>
      <c r="H62" s="387" t="e">
        <f t="shared" si="0"/>
        <v>#DIV/0!</v>
      </c>
    </row>
    <row r="63" spans="1:8" ht="15" hidden="1" x14ac:dyDescent="0.25">
      <c r="A63" s="384"/>
      <c r="B63" s="385"/>
      <c r="C63" s="364" t="s">
        <v>616</v>
      </c>
      <c r="D63" s="388" t="s">
        <v>617</v>
      </c>
      <c r="E63" s="387"/>
      <c r="F63" s="387"/>
      <c r="G63" s="387"/>
      <c r="H63" s="387" t="e">
        <f t="shared" si="0"/>
        <v>#DIV/0!</v>
      </c>
    </row>
    <row r="64" spans="1:8" ht="15" hidden="1" x14ac:dyDescent="0.25">
      <c r="A64" s="384"/>
      <c r="B64" s="385"/>
      <c r="C64" s="364" t="s">
        <v>618</v>
      </c>
      <c r="D64" s="388" t="s">
        <v>619</v>
      </c>
      <c r="E64" s="387"/>
      <c r="F64" s="387"/>
      <c r="G64" s="387"/>
      <c r="H64" s="387" t="e">
        <f t="shared" si="0"/>
        <v>#DIV/0!</v>
      </c>
    </row>
    <row r="65" spans="1:8" ht="15" hidden="1" x14ac:dyDescent="0.25">
      <c r="A65" s="384"/>
      <c r="B65" s="385"/>
      <c r="C65" s="364" t="s">
        <v>620</v>
      </c>
      <c r="D65" s="388" t="s">
        <v>621</v>
      </c>
      <c r="E65" s="387"/>
      <c r="F65" s="387"/>
      <c r="G65" s="387"/>
      <c r="H65" s="387" t="e">
        <f t="shared" si="0"/>
        <v>#DIV/0!</v>
      </c>
    </row>
    <row r="66" spans="1:8" ht="15" hidden="1" x14ac:dyDescent="0.25">
      <c r="A66" s="384"/>
      <c r="B66" s="385"/>
      <c r="C66" s="364" t="s">
        <v>622</v>
      </c>
      <c r="D66" s="388" t="s">
        <v>623</v>
      </c>
      <c r="E66" s="387"/>
      <c r="F66" s="387"/>
      <c r="G66" s="387"/>
      <c r="H66" s="387" t="e">
        <f t="shared" si="0"/>
        <v>#DIV/0!</v>
      </c>
    </row>
    <row r="67" spans="1:8" ht="15" hidden="1" x14ac:dyDescent="0.25">
      <c r="A67" s="384"/>
      <c r="B67" s="385"/>
      <c r="C67" s="364" t="s">
        <v>624</v>
      </c>
      <c r="D67" s="388" t="s">
        <v>625</v>
      </c>
      <c r="E67" s="387"/>
      <c r="F67" s="387"/>
      <c r="G67" s="387"/>
      <c r="H67" s="387" t="e">
        <f t="shared" si="0"/>
        <v>#DIV/0!</v>
      </c>
    </row>
    <row r="68" spans="1:8" ht="15" hidden="1" x14ac:dyDescent="0.25">
      <c r="A68" s="384"/>
      <c r="B68" s="385"/>
      <c r="C68" s="364" t="s">
        <v>626</v>
      </c>
      <c r="D68" s="388" t="s">
        <v>627</v>
      </c>
      <c r="E68" s="387"/>
      <c r="F68" s="387"/>
      <c r="G68" s="387"/>
      <c r="H68" s="387" t="e">
        <f t="shared" si="0"/>
        <v>#DIV/0!</v>
      </c>
    </row>
    <row r="69" spans="1:8" ht="15" hidden="1" x14ac:dyDescent="0.25">
      <c r="A69" s="384"/>
      <c r="B69" s="385"/>
      <c r="C69" s="364" t="s">
        <v>628</v>
      </c>
      <c r="D69" s="388" t="s">
        <v>629</v>
      </c>
      <c r="E69" s="387"/>
      <c r="F69" s="387"/>
      <c r="G69" s="387"/>
      <c r="H69" s="387" t="e">
        <f t="shared" si="0"/>
        <v>#DIV/0!</v>
      </c>
    </row>
    <row r="70" spans="1:8" ht="15" hidden="1" x14ac:dyDescent="0.25">
      <c r="A70" s="384"/>
      <c r="B70" s="385"/>
      <c r="C70" s="364" t="s">
        <v>630</v>
      </c>
      <c r="D70" s="388" t="s">
        <v>631</v>
      </c>
      <c r="E70" s="387"/>
      <c r="F70" s="387"/>
      <c r="G70" s="387"/>
      <c r="H70" s="387" t="e">
        <f t="shared" si="0"/>
        <v>#DIV/0!</v>
      </c>
    </row>
    <row r="71" spans="1:8" ht="15" hidden="1" x14ac:dyDescent="0.25">
      <c r="A71" s="384"/>
      <c r="B71" s="385"/>
      <c r="C71" s="364" t="s">
        <v>632</v>
      </c>
      <c r="D71" s="388" t="s">
        <v>633</v>
      </c>
      <c r="E71" s="387"/>
      <c r="F71" s="387"/>
      <c r="G71" s="387"/>
      <c r="H71" s="387" t="e">
        <f t="shared" si="0"/>
        <v>#DIV/0!</v>
      </c>
    </row>
    <row r="72" spans="1:8" ht="15" hidden="1" x14ac:dyDescent="0.25">
      <c r="A72" s="384"/>
      <c r="B72" s="385"/>
      <c r="C72" s="364" t="s">
        <v>634</v>
      </c>
      <c r="D72" s="388" t="s">
        <v>635</v>
      </c>
      <c r="E72" s="387"/>
      <c r="F72" s="387"/>
      <c r="G72" s="387"/>
      <c r="H72" s="387" t="e">
        <f t="shared" si="0"/>
        <v>#DIV/0!</v>
      </c>
    </row>
    <row r="73" spans="1:8" ht="15" hidden="1" x14ac:dyDescent="0.25">
      <c r="A73" s="384"/>
      <c r="B73" s="385"/>
      <c r="C73" s="364" t="s">
        <v>636</v>
      </c>
      <c r="D73" s="388" t="s">
        <v>637</v>
      </c>
      <c r="E73" s="387"/>
      <c r="F73" s="387"/>
      <c r="G73" s="387"/>
      <c r="H73" s="387" t="e">
        <f t="shared" si="0"/>
        <v>#DIV/0!</v>
      </c>
    </row>
    <row r="74" spans="1:8" ht="15" hidden="1" x14ac:dyDescent="0.25">
      <c r="A74" s="384"/>
      <c r="B74" s="385"/>
      <c r="C74" s="364" t="s">
        <v>638</v>
      </c>
      <c r="D74" s="388" t="s">
        <v>639</v>
      </c>
      <c r="E74" s="387"/>
      <c r="F74" s="387"/>
      <c r="G74" s="387"/>
      <c r="H74" s="387" t="e">
        <f t="shared" si="0"/>
        <v>#DIV/0!</v>
      </c>
    </row>
    <row r="75" spans="1:8" ht="15" hidden="1" x14ac:dyDescent="0.25">
      <c r="A75" s="384"/>
      <c r="B75" s="385"/>
      <c r="C75" s="364" t="s">
        <v>640</v>
      </c>
      <c r="D75" s="388" t="s">
        <v>641</v>
      </c>
      <c r="E75" s="387"/>
      <c r="F75" s="387"/>
      <c r="G75" s="387"/>
      <c r="H75" s="387" t="e">
        <f t="shared" si="0"/>
        <v>#DIV/0!</v>
      </c>
    </row>
    <row r="76" spans="1:8" ht="15" hidden="1" x14ac:dyDescent="0.25">
      <c r="A76" s="384"/>
      <c r="B76" s="385"/>
      <c r="C76" s="364" t="s">
        <v>642</v>
      </c>
      <c r="D76" s="388" t="s">
        <v>643</v>
      </c>
      <c r="E76" s="387"/>
      <c r="F76" s="387"/>
      <c r="G76" s="387"/>
      <c r="H76" s="387" t="e">
        <f t="shared" si="0"/>
        <v>#DIV/0!</v>
      </c>
    </row>
    <row r="77" spans="1:8" ht="15" hidden="1" x14ac:dyDescent="0.25">
      <c r="A77" s="384"/>
      <c r="B77" s="385"/>
      <c r="C77" s="364" t="s">
        <v>644</v>
      </c>
      <c r="D77" s="388" t="s">
        <v>645</v>
      </c>
      <c r="E77" s="387"/>
      <c r="F77" s="387"/>
      <c r="G77" s="387"/>
      <c r="H77" s="387" t="e">
        <f t="shared" si="0"/>
        <v>#DIV/0!</v>
      </c>
    </row>
    <row r="78" spans="1:8" ht="15" hidden="1" x14ac:dyDescent="0.25">
      <c r="A78" s="384"/>
      <c r="B78" s="385"/>
      <c r="C78" s="364" t="s">
        <v>646</v>
      </c>
      <c r="D78" s="388" t="s">
        <v>647</v>
      </c>
      <c r="E78" s="387"/>
      <c r="F78" s="387"/>
      <c r="G78" s="387"/>
      <c r="H78" s="387" t="e">
        <f t="shared" si="0"/>
        <v>#DIV/0!</v>
      </c>
    </row>
    <row r="79" spans="1:8" ht="15" hidden="1" x14ac:dyDescent="0.25">
      <c r="A79" s="384"/>
      <c r="B79" s="385"/>
      <c r="C79" s="364" t="s">
        <v>648</v>
      </c>
      <c r="D79" s="388" t="s">
        <v>649</v>
      </c>
      <c r="E79" s="387"/>
      <c r="F79" s="387"/>
      <c r="G79" s="387"/>
      <c r="H79" s="387" t="e">
        <f t="shared" si="0"/>
        <v>#DIV/0!</v>
      </c>
    </row>
    <row r="80" spans="1:8" ht="15" hidden="1" x14ac:dyDescent="0.25">
      <c r="A80" s="384"/>
      <c r="B80" s="385"/>
      <c r="C80" s="364" t="s">
        <v>1456</v>
      </c>
      <c r="D80" s="388" t="s">
        <v>1457</v>
      </c>
      <c r="E80" s="387"/>
      <c r="F80" s="387"/>
      <c r="G80" s="387"/>
      <c r="H80" s="387" t="e">
        <f t="shared" ref="H80:H86" si="1">G80/F80*100</f>
        <v>#DIV/0!</v>
      </c>
    </row>
    <row r="81" spans="1:8" ht="15" hidden="1" x14ac:dyDescent="0.25">
      <c r="A81" s="384"/>
      <c r="B81" s="385"/>
      <c r="C81" s="364" t="s">
        <v>1458</v>
      </c>
      <c r="D81" s="388" t="s">
        <v>1459</v>
      </c>
      <c r="E81" s="387"/>
      <c r="F81" s="387"/>
      <c r="G81" s="387"/>
      <c r="H81" s="387" t="e">
        <f t="shared" si="1"/>
        <v>#DIV/0!</v>
      </c>
    </row>
    <row r="82" spans="1:8" ht="15" hidden="1" x14ac:dyDescent="0.25">
      <c r="A82" s="384"/>
      <c r="B82" s="385"/>
      <c r="C82" s="364" t="s">
        <v>1460</v>
      </c>
      <c r="D82" s="388" t="s">
        <v>1461</v>
      </c>
      <c r="E82" s="387"/>
      <c r="F82" s="387"/>
      <c r="G82" s="387"/>
      <c r="H82" s="387" t="e">
        <f t="shared" si="1"/>
        <v>#DIV/0!</v>
      </c>
    </row>
    <row r="83" spans="1:8" ht="15" hidden="1" x14ac:dyDescent="0.25">
      <c r="A83" s="384"/>
      <c r="B83" s="385"/>
      <c r="C83" s="364" t="s">
        <v>1462</v>
      </c>
      <c r="D83" s="388" t="s">
        <v>1463</v>
      </c>
      <c r="E83" s="387"/>
      <c r="F83" s="387"/>
      <c r="G83" s="387"/>
      <c r="H83" s="387" t="e">
        <f t="shared" si="1"/>
        <v>#DIV/0!</v>
      </c>
    </row>
    <row r="84" spans="1:8" ht="15" hidden="1" x14ac:dyDescent="0.25">
      <c r="A84" s="384"/>
      <c r="B84" s="385"/>
      <c r="C84" s="364" t="s">
        <v>1464</v>
      </c>
      <c r="D84" s="388" t="s">
        <v>1465</v>
      </c>
      <c r="E84" s="387"/>
      <c r="F84" s="387"/>
      <c r="G84" s="387"/>
      <c r="H84" s="387" t="e">
        <f t="shared" si="1"/>
        <v>#DIV/0!</v>
      </c>
    </row>
    <row r="85" spans="1:8" ht="15" hidden="1" x14ac:dyDescent="0.25">
      <c r="A85" s="384"/>
      <c r="B85" s="385"/>
      <c r="C85" s="364" t="s">
        <v>1466</v>
      </c>
      <c r="D85" s="388" t="s">
        <v>1467</v>
      </c>
      <c r="E85" s="387"/>
      <c r="F85" s="387"/>
      <c r="G85" s="387"/>
      <c r="H85" s="387" t="e">
        <f t="shared" si="1"/>
        <v>#DIV/0!</v>
      </c>
    </row>
    <row r="86" spans="1:8" ht="15" hidden="1" x14ac:dyDescent="0.25">
      <c r="A86" s="384"/>
      <c r="B86" s="385"/>
      <c r="C86" s="364" t="s">
        <v>1468</v>
      </c>
      <c r="D86" s="388" t="s">
        <v>1469</v>
      </c>
      <c r="E86" s="387"/>
      <c r="F86" s="387"/>
      <c r="G86" s="387"/>
      <c r="H86" s="387" t="e">
        <f t="shared" si="1"/>
        <v>#DIV/0!</v>
      </c>
    </row>
    <row r="87" spans="1:8" ht="15" hidden="1" x14ac:dyDescent="0.25">
      <c r="A87" s="384"/>
      <c r="B87" s="385"/>
      <c r="C87" s="364" t="s">
        <v>1470</v>
      </c>
      <c r="D87" s="388" t="s">
        <v>1471</v>
      </c>
      <c r="E87" s="387"/>
      <c r="F87" s="387"/>
      <c r="G87" s="387"/>
      <c r="H87" s="387" t="e">
        <f>G87/F87*100</f>
        <v>#DIV/0!</v>
      </c>
    </row>
    <row r="88" spans="1:8" ht="14.25" x14ac:dyDescent="0.2">
      <c r="A88" s="384"/>
      <c r="B88" s="385"/>
      <c r="C88" s="391" t="s">
        <v>650</v>
      </c>
      <c r="D88" s="392" t="s">
        <v>651</v>
      </c>
      <c r="E88" s="393">
        <f>SUM(E89:E98)-E92-E91</f>
        <v>33226</v>
      </c>
      <c r="F88" s="393">
        <f>SUM(F89:F104)-F92-F91</f>
        <v>0</v>
      </c>
      <c r="G88" s="393">
        <f>SUM(G89:G104)-G92-G91</f>
        <v>0</v>
      </c>
      <c r="H88" s="393" t="e">
        <f t="shared" si="0"/>
        <v>#DIV/0!</v>
      </c>
    </row>
    <row r="89" spans="1:8" ht="15" x14ac:dyDescent="0.25">
      <c r="A89" s="384"/>
      <c r="B89" s="385"/>
      <c r="C89" s="394" t="s">
        <v>652</v>
      </c>
      <c r="D89" s="386" t="s">
        <v>653</v>
      </c>
      <c r="E89" s="387">
        <v>1000</v>
      </c>
      <c r="F89" s="387"/>
      <c r="G89" s="387"/>
      <c r="H89" s="387" t="e">
        <f t="shared" si="0"/>
        <v>#DIV/0!</v>
      </c>
    </row>
    <row r="90" spans="1:8" ht="15" x14ac:dyDescent="0.25">
      <c r="A90" s="384"/>
      <c r="B90" s="385"/>
      <c r="C90" s="394" t="s">
        <v>654</v>
      </c>
      <c r="D90" s="386" t="s">
        <v>655</v>
      </c>
      <c r="E90" s="387">
        <f>SUM(E91:E92)</f>
        <v>790</v>
      </c>
      <c r="F90" s="387"/>
      <c r="G90" s="387"/>
      <c r="H90" s="387" t="e">
        <f t="shared" si="0"/>
        <v>#DIV/0!</v>
      </c>
    </row>
    <row r="91" spans="1:8" ht="15" x14ac:dyDescent="0.25">
      <c r="A91" s="384"/>
      <c r="B91" s="385"/>
      <c r="C91" s="394" t="s">
        <v>656</v>
      </c>
      <c r="D91" s="395" t="s">
        <v>657</v>
      </c>
      <c r="E91" s="396">
        <v>390</v>
      </c>
      <c r="F91" s="396"/>
      <c r="G91" s="396"/>
      <c r="H91" s="396" t="e">
        <f t="shared" si="0"/>
        <v>#DIV/0!</v>
      </c>
    </row>
    <row r="92" spans="1:8" ht="15" x14ac:dyDescent="0.25">
      <c r="A92" s="384"/>
      <c r="B92" s="385"/>
      <c r="C92" s="394" t="s">
        <v>658</v>
      </c>
      <c r="D92" s="395" t="s">
        <v>659</v>
      </c>
      <c r="E92" s="396">
        <v>400</v>
      </c>
      <c r="F92" s="396"/>
      <c r="G92" s="396"/>
      <c r="H92" s="396" t="e">
        <f t="shared" si="0"/>
        <v>#DIV/0!</v>
      </c>
    </row>
    <row r="93" spans="1:8" ht="15" x14ac:dyDescent="0.25">
      <c r="A93" s="384"/>
      <c r="B93" s="385"/>
      <c r="C93" s="394" t="s">
        <v>660</v>
      </c>
      <c r="D93" s="386" t="s">
        <v>48</v>
      </c>
      <c r="E93" s="387">
        <v>0</v>
      </c>
      <c r="F93" s="387"/>
      <c r="G93" s="387"/>
      <c r="H93" s="387" t="e">
        <f t="shared" si="0"/>
        <v>#DIV/0!</v>
      </c>
    </row>
    <row r="94" spans="1:8" ht="15" x14ac:dyDescent="0.25">
      <c r="A94" s="384"/>
      <c r="B94" s="385"/>
      <c r="C94" s="394" t="s">
        <v>661</v>
      </c>
      <c r="D94" s="386" t="s">
        <v>662</v>
      </c>
      <c r="E94" s="387">
        <v>25000</v>
      </c>
      <c r="F94" s="387"/>
      <c r="G94" s="387"/>
      <c r="H94" s="387" t="e">
        <f t="shared" si="0"/>
        <v>#DIV/0!</v>
      </c>
    </row>
    <row r="95" spans="1:8" ht="15" x14ac:dyDescent="0.25">
      <c r="A95" s="384"/>
      <c r="B95" s="385"/>
      <c r="C95" s="394" t="s">
        <v>663</v>
      </c>
      <c r="D95" s="388" t="s">
        <v>664</v>
      </c>
      <c r="E95" s="387">
        <v>1000</v>
      </c>
      <c r="F95" s="387"/>
      <c r="G95" s="387"/>
      <c r="H95" s="387" t="e">
        <f t="shared" si="0"/>
        <v>#DIV/0!</v>
      </c>
    </row>
    <row r="96" spans="1:8" ht="15" x14ac:dyDescent="0.25">
      <c r="A96" s="384"/>
      <c r="B96" s="385"/>
      <c r="C96" s="394" t="s">
        <v>665</v>
      </c>
      <c r="D96" s="388" t="s">
        <v>666</v>
      </c>
      <c r="E96" s="387">
        <v>2800</v>
      </c>
      <c r="F96" s="387"/>
      <c r="G96" s="387"/>
      <c r="H96" s="387" t="e">
        <f t="shared" si="0"/>
        <v>#DIV/0!</v>
      </c>
    </row>
    <row r="97" spans="1:13" ht="15" x14ac:dyDescent="0.25">
      <c r="A97" s="384"/>
      <c r="B97" s="385"/>
      <c r="C97" s="394" t="s">
        <v>667</v>
      </c>
      <c r="D97" s="386" t="s">
        <v>668</v>
      </c>
      <c r="E97" s="387">
        <v>2136</v>
      </c>
      <c r="F97" s="387"/>
      <c r="G97" s="387"/>
      <c r="H97" s="387" t="e">
        <f t="shared" si="0"/>
        <v>#DIV/0!</v>
      </c>
    </row>
    <row r="98" spans="1:13" ht="15" x14ac:dyDescent="0.25">
      <c r="A98" s="384"/>
      <c r="B98" s="385"/>
      <c r="C98" s="394" t="s">
        <v>669</v>
      </c>
      <c r="D98" s="388" t="s">
        <v>1510</v>
      </c>
      <c r="E98" s="387">
        <v>500</v>
      </c>
      <c r="F98" s="387"/>
      <c r="G98" s="387"/>
      <c r="H98" s="387" t="e">
        <f t="shared" si="0"/>
        <v>#DIV/0!</v>
      </c>
    </row>
    <row r="99" spans="1:13" ht="15" hidden="1" x14ac:dyDescent="0.25">
      <c r="A99" s="384"/>
      <c r="B99" s="385"/>
      <c r="C99" s="394" t="s">
        <v>670</v>
      </c>
      <c r="D99" s="386" t="s">
        <v>671</v>
      </c>
      <c r="E99" s="387"/>
      <c r="F99" s="387"/>
      <c r="G99" s="387"/>
      <c r="H99" s="387" t="e">
        <f t="shared" si="0"/>
        <v>#DIV/0!</v>
      </c>
    </row>
    <row r="100" spans="1:13" ht="15" hidden="1" x14ac:dyDescent="0.25">
      <c r="A100" s="384"/>
      <c r="B100" s="385"/>
      <c r="C100" s="394" t="s">
        <v>672</v>
      </c>
      <c r="D100" s="386" t="s">
        <v>673</v>
      </c>
      <c r="E100" s="387"/>
      <c r="F100" s="387"/>
      <c r="G100" s="387"/>
      <c r="H100" s="387" t="e">
        <f t="shared" si="0"/>
        <v>#DIV/0!</v>
      </c>
    </row>
    <row r="101" spans="1:13" ht="15" hidden="1" x14ac:dyDescent="0.25">
      <c r="A101" s="384"/>
      <c r="B101" s="385"/>
      <c r="C101" s="394" t="s">
        <v>674</v>
      </c>
      <c r="D101" s="386" t="s">
        <v>675</v>
      </c>
      <c r="E101" s="387"/>
      <c r="F101" s="387"/>
      <c r="G101" s="387"/>
      <c r="H101" s="387" t="e">
        <f t="shared" si="0"/>
        <v>#DIV/0!</v>
      </c>
    </row>
    <row r="102" spans="1:13" ht="15" hidden="1" x14ac:dyDescent="0.25">
      <c r="A102" s="384"/>
      <c r="B102" s="385"/>
      <c r="C102" s="394" t="s">
        <v>676</v>
      </c>
      <c r="D102" s="386" t="s">
        <v>677</v>
      </c>
      <c r="E102" s="387"/>
      <c r="F102" s="387"/>
      <c r="G102" s="387"/>
      <c r="H102" s="387" t="e">
        <f t="shared" si="0"/>
        <v>#DIV/0!</v>
      </c>
    </row>
    <row r="103" spans="1:13" ht="15" hidden="1" x14ac:dyDescent="0.25">
      <c r="A103" s="384"/>
      <c r="B103" s="385"/>
      <c r="C103" s="394" t="s">
        <v>678</v>
      </c>
      <c r="D103" s="386" t="s">
        <v>679</v>
      </c>
      <c r="E103" s="387"/>
      <c r="F103" s="387"/>
      <c r="G103" s="387"/>
      <c r="H103" s="387" t="e">
        <f t="shared" si="0"/>
        <v>#DIV/0!</v>
      </c>
    </row>
    <row r="104" spans="1:13" ht="15" hidden="1" x14ac:dyDescent="0.25">
      <c r="A104" s="384"/>
      <c r="B104" s="385"/>
      <c r="C104" s="394" t="s">
        <v>680</v>
      </c>
      <c r="D104" s="386" t="s">
        <v>681</v>
      </c>
      <c r="E104" s="387"/>
      <c r="F104" s="387"/>
      <c r="G104" s="387"/>
      <c r="H104" s="387" t="e">
        <f t="shared" si="0"/>
        <v>#DIV/0!</v>
      </c>
    </row>
    <row r="105" spans="1:13" ht="14.25" x14ac:dyDescent="0.2">
      <c r="A105" s="384"/>
      <c r="B105" s="385"/>
      <c r="C105" s="391" t="s">
        <v>682</v>
      </c>
      <c r="D105" s="392" t="s">
        <v>683</v>
      </c>
      <c r="E105" s="1049">
        <v>8000</v>
      </c>
      <c r="F105" s="393"/>
      <c r="G105" s="393"/>
      <c r="H105" s="393" t="e">
        <f t="shared" si="0"/>
        <v>#DIV/0!</v>
      </c>
    </row>
    <row r="106" spans="1:13" ht="15" x14ac:dyDescent="0.25">
      <c r="A106" s="397"/>
      <c r="B106" s="380" t="s">
        <v>457</v>
      </c>
      <c r="C106" s="398"/>
      <c r="D106" s="399" t="s">
        <v>684</v>
      </c>
      <c r="E106" s="400">
        <f>SUM(E107:E110)</f>
        <v>17000</v>
      </c>
      <c r="F106" s="400">
        <f>SUM(F107:F110)</f>
        <v>0</v>
      </c>
      <c r="G106" s="400">
        <f>SUM(G107:G110)</f>
        <v>0</v>
      </c>
      <c r="H106" s="400" t="e">
        <f t="shared" si="0"/>
        <v>#DIV/0!</v>
      </c>
      <c r="L106" s="335"/>
    </row>
    <row r="107" spans="1:13" ht="15" x14ac:dyDescent="0.25">
      <c r="A107" s="397"/>
      <c r="B107" s="380"/>
      <c r="C107" s="381" t="s">
        <v>685</v>
      </c>
      <c r="D107" s="388" t="s">
        <v>686</v>
      </c>
      <c r="E107" s="1026">
        <v>4500</v>
      </c>
      <c r="F107" s="387"/>
      <c r="G107" s="387"/>
      <c r="H107" s="387" t="e">
        <f t="shared" si="0"/>
        <v>#DIV/0!</v>
      </c>
      <c r="I107" s="315"/>
      <c r="M107" s="335"/>
    </row>
    <row r="108" spans="1:13" ht="15" x14ac:dyDescent="0.25">
      <c r="A108" s="397"/>
      <c r="B108" s="380"/>
      <c r="C108" s="381" t="s">
        <v>687</v>
      </c>
      <c r="D108" s="388" t="s">
        <v>688</v>
      </c>
      <c r="E108" s="1026">
        <v>4500</v>
      </c>
      <c r="F108" s="387"/>
      <c r="G108" s="387"/>
      <c r="H108" s="387" t="e">
        <f t="shared" si="0"/>
        <v>#DIV/0!</v>
      </c>
    </row>
    <row r="109" spans="1:13" ht="15.75" customHeight="1" x14ac:dyDescent="0.25">
      <c r="A109" s="397"/>
      <c r="B109" s="380"/>
      <c r="C109" s="381" t="s">
        <v>689</v>
      </c>
      <c r="D109" s="388" t="s">
        <v>690</v>
      </c>
      <c r="E109" s="1026">
        <v>7000</v>
      </c>
      <c r="F109" s="387"/>
      <c r="G109" s="387"/>
      <c r="H109" s="387" t="e">
        <f t="shared" ref="H109:H172" si="2">G109/F109*100</f>
        <v>#DIV/0!</v>
      </c>
    </row>
    <row r="110" spans="1:13" ht="15" x14ac:dyDescent="0.25">
      <c r="A110" s="397"/>
      <c r="B110" s="380"/>
      <c r="C110" s="381" t="s">
        <v>691</v>
      </c>
      <c r="D110" s="388" t="s">
        <v>692</v>
      </c>
      <c r="E110" s="1026">
        <v>1000</v>
      </c>
      <c r="F110" s="387">
        <v>0</v>
      </c>
      <c r="G110" s="387">
        <v>0</v>
      </c>
      <c r="H110" s="387" t="e">
        <f t="shared" si="2"/>
        <v>#DIV/0!</v>
      </c>
    </row>
    <row r="111" spans="1:13" ht="19.5" customHeight="1" x14ac:dyDescent="0.25">
      <c r="A111" s="1600" t="s">
        <v>693</v>
      </c>
      <c r="B111" s="1600"/>
      <c r="C111" s="1600"/>
      <c r="D111" s="1600"/>
      <c r="E111" s="401">
        <f>E4+E7+E13+E32+E106+E21+E31</f>
        <v>256487</v>
      </c>
      <c r="F111" s="401">
        <f>F4+F7+F13+F32+F106+F21+F31</f>
        <v>0</v>
      </c>
      <c r="G111" s="401">
        <f>G4+G7+G13+G32+G106+G21+G31</f>
        <v>0</v>
      </c>
      <c r="H111" s="401" t="e">
        <f t="shared" si="2"/>
        <v>#DIV/0!</v>
      </c>
      <c r="K111" s="286"/>
    </row>
    <row r="112" spans="1:13" ht="15" x14ac:dyDescent="0.25">
      <c r="A112" s="308"/>
      <c r="B112" s="291" t="s">
        <v>459</v>
      </c>
      <c r="C112" s="292"/>
      <c r="D112" s="355" t="s">
        <v>204</v>
      </c>
      <c r="E112" s="356">
        <f>E113+E114</f>
        <v>143605</v>
      </c>
      <c r="F112" s="356" t="e">
        <f>F113+F114</f>
        <v>#REF!</v>
      </c>
      <c r="G112" s="356">
        <f>G113+G114</f>
        <v>0</v>
      </c>
      <c r="H112" s="356" t="e">
        <f t="shared" si="2"/>
        <v>#REF!</v>
      </c>
      <c r="L112" s="335"/>
    </row>
    <row r="113" spans="1:17" ht="15" x14ac:dyDescent="0.25">
      <c r="A113" s="308"/>
      <c r="B113" s="291"/>
      <c r="C113" s="364" t="s">
        <v>694</v>
      </c>
      <c r="D113" s="382" t="s">
        <v>695</v>
      </c>
      <c r="E113" s="310"/>
      <c r="F113" s="310"/>
      <c r="G113" s="310"/>
      <c r="H113" s="310"/>
      <c r="K113" s="286"/>
    </row>
    <row r="114" spans="1:17" ht="15" x14ac:dyDescent="0.25">
      <c r="A114" s="308"/>
      <c r="B114" s="291"/>
      <c r="C114" s="363" t="s">
        <v>696</v>
      </c>
      <c r="D114" s="382" t="s">
        <v>155</v>
      </c>
      <c r="E114" s="353">
        <f>SUM('7.1. sz mell.'!I110)</f>
        <v>143605</v>
      </c>
      <c r="F114" s="353" t="e">
        <f>SUM('7.1. sz mell.'!J110)</f>
        <v>#REF!</v>
      </c>
      <c r="G114" s="353">
        <f>SUM('7.1. sz mell.'!K110)</f>
        <v>0</v>
      </c>
      <c r="H114" s="353" t="e">
        <f t="shared" si="2"/>
        <v>#REF!</v>
      </c>
      <c r="K114" s="286"/>
    </row>
    <row r="115" spans="1:17" ht="19.5" customHeight="1" x14ac:dyDescent="0.25">
      <c r="A115" s="1600" t="s">
        <v>697</v>
      </c>
      <c r="B115" s="1600" t="s">
        <v>462</v>
      </c>
      <c r="C115" s="1600"/>
      <c r="D115" s="1600" t="s">
        <v>463</v>
      </c>
      <c r="E115" s="324">
        <f>E112</f>
        <v>143605</v>
      </c>
      <c r="F115" s="324" t="e">
        <f>F112</f>
        <v>#REF!</v>
      </c>
      <c r="G115" s="324">
        <f>G112</f>
        <v>0</v>
      </c>
      <c r="H115" s="324" t="e">
        <f t="shared" si="2"/>
        <v>#REF!</v>
      </c>
      <c r="K115" s="286"/>
    </row>
    <row r="116" spans="1:17" ht="19.5" customHeight="1" x14ac:dyDescent="0.25">
      <c r="A116" s="1600" t="s">
        <v>698</v>
      </c>
      <c r="B116" s="1600"/>
      <c r="C116" s="1600"/>
      <c r="D116" s="1600"/>
      <c r="E116" s="324">
        <f>E111+E115</f>
        <v>400092</v>
      </c>
      <c r="F116" s="324" t="e">
        <f>F111+F115</f>
        <v>#REF!</v>
      </c>
      <c r="G116" s="324">
        <f>G111+G115</f>
        <v>0</v>
      </c>
      <c r="H116" s="324" t="e">
        <f t="shared" si="2"/>
        <v>#REF!</v>
      </c>
      <c r="K116" s="286"/>
    </row>
    <row r="117" spans="1:17" ht="15" x14ac:dyDescent="0.25">
      <c r="A117" s="308"/>
      <c r="B117" s="291" t="s">
        <v>462</v>
      </c>
      <c r="C117" s="292"/>
      <c r="D117" s="355" t="s">
        <v>699</v>
      </c>
      <c r="E117" s="356"/>
      <c r="F117" s="356"/>
      <c r="G117" s="356"/>
      <c r="H117" s="356"/>
      <c r="L117" s="335"/>
    </row>
    <row r="118" spans="1:17" ht="15" x14ac:dyDescent="0.25">
      <c r="A118" s="308"/>
      <c r="B118" s="291" t="s">
        <v>700</v>
      </c>
      <c r="C118" s="292"/>
      <c r="D118" s="355" t="s">
        <v>701</v>
      </c>
      <c r="E118" s="356"/>
      <c r="F118" s="356"/>
      <c r="G118" s="356"/>
      <c r="H118" s="356"/>
      <c r="L118" s="335"/>
    </row>
    <row r="119" spans="1:17" ht="15" hidden="1" x14ac:dyDescent="0.25">
      <c r="A119" s="290"/>
      <c r="B119" s="291"/>
      <c r="C119" s="364" t="s">
        <v>702</v>
      </c>
      <c r="D119" s="309" t="s">
        <v>703</v>
      </c>
      <c r="E119" s="310"/>
      <c r="F119" s="310"/>
      <c r="G119" s="310"/>
      <c r="H119" s="310"/>
    </row>
    <row r="120" spans="1:17" ht="15" hidden="1" customHeight="1" x14ac:dyDescent="0.25">
      <c r="A120" s="290"/>
      <c r="B120" s="291"/>
      <c r="C120" s="364" t="s">
        <v>704</v>
      </c>
      <c r="D120" s="309" t="s">
        <v>705</v>
      </c>
      <c r="E120" s="314"/>
      <c r="F120" s="314"/>
      <c r="G120" s="314"/>
      <c r="H120" s="314"/>
    </row>
    <row r="121" spans="1:17" ht="15" hidden="1" customHeight="1" x14ac:dyDescent="0.25">
      <c r="A121" s="290"/>
      <c r="B121" s="291"/>
      <c r="C121" s="364" t="s">
        <v>706</v>
      </c>
      <c r="D121" s="309" t="s">
        <v>707</v>
      </c>
      <c r="E121" s="310"/>
      <c r="F121" s="310"/>
      <c r="G121" s="310"/>
      <c r="H121" s="310"/>
    </row>
    <row r="122" spans="1:17" ht="15" hidden="1" customHeight="1" x14ac:dyDescent="0.25">
      <c r="A122" s="290"/>
      <c r="B122" s="291"/>
      <c r="C122" s="364" t="s">
        <v>708</v>
      </c>
      <c r="D122" s="309" t="s">
        <v>709</v>
      </c>
      <c r="E122" s="320"/>
      <c r="F122" s="320"/>
      <c r="G122" s="320"/>
      <c r="H122" s="320"/>
    </row>
    <row r="123" spans="1:17" ht="15" hidden="1" customHeight="1" x14ac:dyDescent="0.25">
      <c r="A123" s="290"/>
      <c r="B123" s="291"/>
      <c r="C123" s="364" t="s">
        <v>710</v>
      </c>
      <c r="D123" s="309" t="s">
        <v>711</v>
      </c>
      <c r="E123" s="310"/>
      <c r="F123" s="310"/>
      <c r="G123" s="310"/>
      <c r="H123" s="310"/>
    </row>
    <row r="124" spans="1:17" ht="15" hidden="1" customHeight="1" x14ac:dyDescent="0.25">
      <c r="A124" s="290"/>
      <c r="B124" s="291"/>
      <c r="C124" s="364" t="s">
        <v>712</v>
      </c>
      <c r="D124" s="309" t="s">
        <v>713</v>
      </c>
      <c r="E124" s="310"/>
      <c r="F124" s="310"/>
      <c r="G124" s="310"/>
      <c r="H124" s="310"/>
    </row>
    <row r="125" spans="1:17" ht="19.5" customHeight="1" x14ac:dyDescent="0.25">
      <c r="A125" s="1600" t="s">
        <v>714</v>
      </c>
      <c r="B125" s="1600"/>
      <c r="C125" s="1600"/>
      <c r="D125" s="1600"/>
      <c r="E125" s="324">
        <f>E118+E117</f>
        <v>0</v>
      </c>
      <c r="F125" s="324">
        <f>F118+F117</f>
        <v>0</v>
      </c>
      <c r="G125" s="324">
        <f>G118+G117</f>
        <v>0</v>
      </c>
      <c r="H125" s="324"/>
      <c r="K125" s="286"/>
    </row>
    <row r="126" spans="1:17" ht="19.5" customHeight="1" x14ac:dyDescent="0.25">
      <c r="A126" s="1594" t="s">
        <v>715</v>
      </c>
      <c r="B126" s="1594"/>
      <c r="C126" s="1594"/>
      <c r="D126" s="1594"/>
      <c r="E126" s="333">
        <f>E125+E116</f>
        <v>400092</v>
      </c>
      <c r="F126" s="333" t="e">
        <f>F125+F116</f>
        <v>#REF!</v>
      </c>
      <c r="G126" s="333">
        <f>G125+G116</f>
        <v>0</v>
      </c>
      <c r="H126" s="333" t="e">
        <f t="shared" si="2"/>
        <v>#REF!</v>
      </c>
      <c r="I126" s="346"/>
      <c r="J126" s="346"/>
      <c r="K126" s="346"/>
      <c r="P126" s="335"/>
      <c r="Q126" s="335"/>
    </row>
    <row r="127" spans="1:17" ht="12.75" customHeight="1" x14ac:dyDescent="0.25">
      <c r="A127" s="402"/>
      <c r="B127" s="403"/>
      <c r="C127" s="403"/>
      <c r="D127" s="403"/>
      <c r="E127" s="404"/>
      <c r="F127" s="404"/>
      <c r="G127" s="404"/>
      <c r="H127" s="404"/>
      <c r="I127" s="346"/>
      <c r="J127" s="346"/>
      <c r="K127" s="346"/>
    </row>
    <row r="128" spans="1:17" ht="19.5" customHeight="1" x14ac:dyDescent="0.25">
      <c r="A128" s="405" t="s">
        <v>716</v>
      </c>
      <c r="B128" s="406"/>
      <c r="C128" s="407"/>
      <c r="D128" s="405"/>
      <c r="E128" s="408"/>
      <c r="F128" s="408"/>
      <c r="G128" s="408"/>
      <c r="H128" s="408"/>
      <c r="I128" s="346"/>
      <c r="J128" s="346"/>
      <c r="K128" s="346"/>
    </row>
    <row r="129" spans="1:8" s="301" customFormat="1" ht="16.5" x14ac:dyDescent="0.25">
      <c r="A129" s="334"/>
      <c r="B129" s="297"/>
      <c r="C129" s="298" t="s">
        <v>7</v>
      </c>
      <c r="D129" s="299" t="s">
        <v>717</v>
      </c>
      <c r="E129" s="300">
        <f>SUM('6.1.sz.mell. '!H4)</f>
        <v>25000</v>
      </c>
      <c r="F129" s="300" t="e">
        <f>SUM(#REF!)</f>
        <v>#REF!</v>
      </c>
      <c r="G129" s="300" t="e">
        <f>SUM(#REF!)</f>
        <v>#REF!</v>
      </c>
      <c r="H129" s="300" t="e">
        <f t="shared" si="2"/>
        <v>#REF!</v>
      </c>
    </row>
    <row r="130" spans="1:8" s="301" customFormat="1" ht="16.5" x14ac:dyDescent="0.25">
      <c r="A130" s="334"/>
      <c r="B130" s="297"/>
      <c r="C130" s="298" t="s">
        <v>9</v>
      </c>
      <c r="D130" s="299" t="s">
        <v>134</v>
      </c>
      <c r="E130" s="300">
        <f>SUM('6.2.sz.mell.'!H3)</f>
        <v>91500</v>
      </c>
      <c r="F130" s="300" t="e">
        <f>SUM(#REF!)</f>
        <v>#REF!</v>
      </c>
      <c r="G130" s="300" t="e">
        <f>SUM(#REF!)</f>
        <v>#REF!</v>
      </c>
      <c r="H130" s="300" t="e">
        <f t="shared" si="2"/>
        <v>#REF!</v>
      </c>
    </row>
    <row r="131" spans="1:8" s="301" customFormat="1" ht="16.5" x14ac:dyDescent="0.25">
      <c r="A131" s="334"/>
      <c r="B131" s="297"/>
      <c r="C131" s="298" t="s">
        <v>11</v>
      </c>
      <c r="D131" s="299" t="s">
        <v>148</v>
      </c>
      <c r="E131" s="300">
        <f>E132</f>
        <v>0</v>
      </c>
      <c r="F131" s="300">
        <f>F132</f>
        <v>0</v>
      </c>
      <c r="G131" s="300">
        <f>G132</f>
        <v>0</v>
      </c>
      <c r="H131" s="300"/>
    </row>
    <row r="132" spans="1:8" ht="15" hidden="1" customHeight="1" x14ac:dyDescent="0.25">
      <c r="A132" s="290"/>
      <c r="B132" s="291"/>
      <c r="C132" s="364" t="s">
        <v>509</v>
      </c>
      <c r="D132" s="309" t="s">
        <v>718</v>
      </c>
      <c r="E132" s="310"/>
      <c r="F132" s="310"/>
      <c r="G132" s="310"/>
      <c r="H132" s="310" t="e">
        <f t="shared" si="2"/>
        <v>#DIV/0!</v>
      </c>
    </row>
    <row r="133" spans="1:8" s="301" customFormat="1" ht="16.5" x14ac:dyDescent="0.25">
      <c r="A133" s="334"/>
      <c r="B133" s="297"/>
      <c r="C133" s="298" t="s">
        <v>13</v>
      </c>
      <c r="D133" s="299" t="s">
        <v>140</v>
      </c>
      <c r="E133" s="300"/>
      <c r="F133" s="300"/>
      <c r="G133" s="300"/>
      <c r="H133" s="300"/>
    </row>
    <row r="134" spans="1:8" s="301" customFormat="1" ht="16.5" x14ac:dyDescent="0.25">
      <c r="A134" s="334"/>
      <c r="B134" s="297"/>
      <c r="C134" s="298" t="s">
        <v>15</v>
      </c>
      <c r="D134" s="299" t="s">
        <v>719</v>
      </c>
      <c r="E134" s="300">
        <f>E135+E136</f>
        <v>51432</v>
      </c>
      <c r="F134" s="300">
        <f>F135+F136</f>
        <v>0</v>
      </c>
      <c r="G134" s="300">
        <f>G135+G136</f>
        <v>0</v>
      </c>
      <c r="H134" s="300" t="e">
        <f t="shared" si="2"/>
        <v>#DIV/0!</v>
      </c>
    </row>
    <row r="135" spans="1:8" ht="15" x14ac:dyDescent="0.25">
      <c r="A135" s="384"/>
      <c r="B135" s="385"/>
      <c r="C135" s="394" t="s">
        <v>720</v>
      </c>
      <c r="D135" s="386" t="s">
        <v>721</v>
      </c>
      <c r="E135" s="387"/>
      <c r="F135" s="387"/>
      <c r="G135" s="387"/>
      <c r="H135" s="387" t="e">
        <f t="shared" si="2"/>
        <v>#DIV/0!</v>
      </c>
    </row>
    <row r="136" spans="1:8" ht="15" x14ac:dyDescent="0.25">
      <c r="A136" s="384"/>
      <c r="B136" s="385"/>
      <c r="C136" s="394" t="s">
        <v>722</v>
      </c>
      <c r="D136" s="386" t="s">
        <v>1509</v>
      </c>
      <c r="E136" s="387">
        <v>51432</v>
      </c>
      <c r="F136" s="387"/>
      <c r="G136" s="387"/>
      <c r="H136" s="387" t="e">
        <f t="shared" si="2"/>
        <v>#DIV/0!</v>
      </c>
    </row>
    <row r="137" spans="1:8" s="301" customFormat="1" ht="16.5" x14ac:dyDescent="0.25">
      <c r="A137" s="334"/>
      <c r="B137" s="297"/>
      <c r="C137" s="298" t="s">
        <v>17</v>
      </c>
      <c r="D137" s="299" t="s">
        <v>723</v>
      </c>
      <c r="E137" s="300"/>
      <c r="F137" s="300"/>
      <c r="G137" s="300">
        <v>0</v>
      </c>
      <c r="H137" s="300" t="e">
        <f t="shared" si="2"/>
        <v>#DIV/0!</v>
      </c>
    </row>
    <row r="138" spans="1:8" s="301" customFormat="1" ht="16.5" x14ac:dyDescent="0.25">
      <c r="A138" s="409"/>
      <c r="B138" s="410"/>
      <c r="C138" s="411" t="s">
        <v>19</v>
      </c>
      <c r="D138" s="299" t="s">
        <v>724</v>
      </c>
      <c r="E138" s="412">
        <v>10000</v>
      </c>
      <c r="F138" s="412">
        <v>0</v>
      </c>
      <c r="G138" s="412">
        <v>0</v>
      </c>
      <c r="H138" s="412"/>
    </row>
    <row r="139" spans="1:8" s="301" customFormat="1" ht="16.5" x14ac:dyDescent="0.25">
      <c r="A139" s="409"/>
      <c r="B139" s="410"/>
      <c r="C139" s="411" t="s">
        <v>524</v>
      </c>
      <c r="D139" s="299" t="s">
        <v>725</v>
      </c>
      <c r="E139" s="412">
        <f>SUM(E140:E144)</f>
        <v>44500</v>
      </c>
      <c r="F139" s="412">
        <f>SUM(F140:F144)</f>
        <v>0</v>
      </c>
      <c r="G139" s="412">
        <f>SUM(G140:G144)</f>
        <v>0</v>
      </c>
      <c r="H139" s="412" t="e">
        <f t="shared" si="2"/>
        <v>#DIV/0!</v>
      </c>
    </row>
    <row r="140" spans="1:8" s="301" customFormat="1" ht="16.5" x14ac:dyDescent="0.25">
      <c r="A140" s="409"/>
      <c r="B140" s="410"/>
      <c r="C140" s="394" t="s">
        <v>783</v>
      </c>
      <c r="D140" s="1037" t="s">
        <v>726</v>
      </c>
      <c r="E140" s="1017">
        <v>5250</v>
      </c>
      <c r="F140" s="368"/>
      <c r="G140" s="368"/>
      <c r="H140" s="368" t="e">
        <f t="shared" si="2"/>
        <v>#DIV/0!</v>
      </c>
    </row>
    <row r="141" spans="1:8" s="301" customFormat="1" ht="16.5" x14ac:dyDescent="0.25">
      <c r="A141" s="409"/>
      <c r="B141" s="410"/>
      <c r="C141" s="394" t="s">
        <v>1498</v>
      </c>
      <c r="D141" s="1037" t="s">
        <v>727</v>
      </c>
      <c r="E141" s="1017">
        <v>11250</v>
      </c>
      <c r="F141" s="368"/>
      <c r="G141" s="368"/>
      <c r="H141" s="368" t="e">
        <f t="shared" si="2"/>
        <v>#DIV/0!</v>
      </c>
    </row>
    <row r="142" spans="1:8" s="301" customFormat="1" ht="16.5" x14ac:dyDescent="0.25">
      <c r="A142" s="409"/>
      <c r="B142" s="410"/>
      <c r="C142" s="394" t="s">
        <v>1499</v>
      </c>
      <c r="D142" s="1037" t="s">
        <v>728</v>
      </c>
      <c r="E142" s="1017">
        <v>2625</v>
      </c>
      <c r="F142" s="368"/>
      <c r="G142" s="368"/>
      <c r="H142" s="368" t="e">
        <f t="shared" si="2"/>
        <v>#DIV/0!</v>
      </c>
    </row>
    <row r="143" spans="1:8" s="301" customFormat="1" ht="16.5" x14ac:dyDescent="0.25">
      <c r="A143" s="409"/>
      <c r="B143" s="410"/>
      <c r="C143" s="394" t="s">
        <v>1500</v>
      </c>
      <c r="D143" s="1037" t="s">
        <v>729</v>
      </c>
      <c r="E143" s="1017">
        <v>6750</v>
      </c>
      <c r="F143" s="368"/>
      <c r="G143" s="368"/>
      <c r="H143" s="368" t="e">
        <f t="shared" si="2"/>
        <v>#DIV/0!</v>
      </c>
    </row>
    <row r="144" spans="1:8" s="301" customFormat="1" ht="16.5" x14ac:dyDescent="0.25">
      <c r="A144" s="409"/>
      <c r="B144" s="410"/>
      <c r="C144" s="394" t="s">
        <v>1501</v>
      </c>
      <c r="D144" s="1037" t="s">
        <v>730</v>
      </c>
      <c r="E144" s="1017">
        <v>18625</v>
      </c>
      <c r="F144" s="368"/>
      <c r="G144" s="368"/>
      <c r="H144" s="368" t="e">
        <f t="shared" si="2"/>
        <v>#DIV/0!</v>
      </c>
    </row>
    <row r="145" spans="1:11" ht="19.5" customHeight="1" x14ac:dyDescent="0.25">
      <c r="A145" s="1600" t="s">
        <v>731</v>
      </c>
      <c r="B145" s="1600"/>
      <c r="C145" s="1600"/>
      <c r="D145" s="1600" t="s">
        <v>519</v>
      </c>
      <c r="E145" s="401">
        <f>E129+E130+E131+E133+E134+E137+E138+E139</f>
        <v>222432</v>
      </c>
      <c r="F145" s="401" t="e">
        <f>F129+F130+F131+F133+F134+F137+F138+F139</f>
        <v>#REF!</v>
      </c>
      <c r="G145" s="401" t="e">
        <f>G129+G130+G131+G133+G134+G137+G138+G139</f>
        <v>#REF!</v>
      </c>
      <c r="H145" s="401" t="e">
        <f t="shared" si="2"/>
        <v>#REF!</v>
      </c>
      <c r="K145" s="286"/>
    </row>
    <row r="146" spans="1:11" s="301" customFormat="1" ht="16.5" x14ac:dyDescent="0.25">
      <c r="A146" s="334"/>
      <c r="B146" s="297"/>
      <c r="C146" s="298" t="s">
        <v>732</v>
      </c>
      <c r="D146" s="299" t="s">
        <v>204</v>
      </c>
      <c r="E146" s="300">
        <f>E148+E147</f>
        <v>115000</v>
      </c>
      <c r="F146" s="300" t="e">
        <f>F148+F147</f>
        <v>#REF!</v>
      </c>
      <c r="G146" s="300">
        <f>G148+G147</f>
        <v>0</v>
      </c>
      <c r="H146" s="300" t="e">
        <f t="shared" si="2"/>
        <v>#REF!</v>
      </c>
    </row>
    <row r="147" spans="1:11" s="301" customFormat="1" ht="16.5" x14ac:dyDescent="0.25">
      <c r="A147" s="409"/>
      <c r="B147" s="410"/>
      <c r="C147" s="394" t="s">
        <v>733</v>
      </c>
      <c r="D147" s="386" t="s">
        <v>153</v>
      </c>
      <c r="E147" s="310">
        <v>20000</v>
      </c>
      <c r="F147" s="310"/>
      <c r="G147" s="310"/>
      <c r="H147" s="310"/>
    </row>
    <row r="148" spans="1:11" ht="15" x14ac:dyDescent="0.25">
      <c r="A148" s="384"/>
      <c r="B148" s="385"/>
      <c r="C148" s="394" t="s">
        <v>734</v>
      </c>
      <c r="D148" s="386" t="s">
        <v>735</v>
      </c>
      <c r="E148" s="310">
        <f>SUM('7.2.. sz mell.'!F37)</f>
        <v>95000</v>
      </c>
      <c r="F148" s="310" t="e">
        <f>SUM('7.2.. sz mell.'!G37)</f>
        <v>#REF!</v>
      </c>
      <c r="G148" s="310">
        <f>SUM('7.2.. sz mell.'!H37)</f>
        <v>0</v>
      </c>
      <c r="H148" s="310" t="e">
        <f t="shared" si="2"/>
        <v>#REF!</v>
      </c>
    </row>
    <row r="149" spans="1:11" ht="19.5" customHeight="1" x14ac:dyDescent="0.25">
      <c r="A149" s="1600" t="s">
        <v>736</v>
      </c>
      <c r="B149" s="1600" t="s">
        <v>462</v>
      </c>
      <c r="C149" s="1600"/>
      <c r="D149" s="1600" t="s">
        <v>463</v>
      </c>
      <c r="E149" s="324">
        <f>E148+E147</f>
        <v>115000</v>
      </c>
      <c r="F149" s="324" t="e">
        <f>F148+F147</f>
        <v>#REF!</v>
      </c>
      <c r="G149" s="324">
        <f>G148+G147</f>
        <v>0</v>
      </c>
      <c r="H149" s="324" t="e">
        <f t="shared" si="2"/>
        <v>#REF!</v>
      </c>
      <c r="K149" s="286"/>
    </row>
    <row r="150" spans="1:11" ht="19.5" customHeight="1" x14ac:dyDescent="0.25">
      <c r="A150" s="1600" t="s">
        <v>737</v>
      </c>
      <c r="B150" s="1600"/>
      <c r="C150" s="1600"/>
      <c r="D150" s="1600"/>
      <c r="E150" s="324">
        <f>E145+E149</f>
        <v>337432</v>
      </c>
      <c r="F150" s="324" t="e">
        <f>F145+F149</f>
        <v>#REF!</v>
      </c>
      <c r="G150" s="324" t="e">
        <f>G145+G149</f>
        <v>#REF!</v>
      </c>
      <c r="H150" s="324" t="e">
        <f t="shared" si="2"/>
        <v>#REF!</v>
      </c>
      <c r="K150" s="286"/>
    </row>
    <row r="151" spans="1:11" s="301" customFormat="1" ht="16.5" x14ac:dyDescent="0.25">
      <c r="A151" s="413"/>
      <c r="B151" s="414"/>
      <c r="C151" s="415" t="s">
        <v>738</v>
      </c>
      <c r="D151" s="416" t="s">
        <v>739</v>
      </c>
      <c r="E151" s="417">
        <f>E152</f>
        <v>64000</v>
      </c>
      <c r="F151" s="417" t="e">
        <f>F152</f>
        <v>#REF!</v>
      </c>
      <c r="G151" s="417" t="e">
        <f>G152</f>
        <v>#REF!</v>
      </c>
      <c r="H151" s="417" t="e">
        <f t="shared" si="2"/>
        <v>#REF!</v>
      </c>
    </row>
    <row r="152" spans="1:11" ht="15" customHeight="1" x14ac:dyDescent="0.2">
      <c r="A152" s="372"/>
      <c r="B152" s="373"/>
      <c r="C152" s="418" t="s">
        <v>740</v>
      </c>
      <c r="D152" s="419" t="s">
        <v>741</v>
      </c>
      <c r="E152" s="420">
        <f>SUM(E153+E155+E154+E156)</f>
        <v>64000</v>
      </c>
      <c r="F152" s="420" t="e">
        <f>SUM(F153+F155+#REF!+#REF!+F154+F156)</f>
        <v>#REF!</v>
      </c>
      <c r="G152" s="420" t="e">
        <f>SUM(G153+G155+#REF!+#REF!+G154+G156)</f>
        <v>#REF!</v>
      </c>
      <c r="H152" s="420" t="e">
        <f t="shared" si="2"/>
        <v>#REF!</v>
      </c>
    </row>
    <row r="153" spans="1:11" ht="15" x14ac:dyDescent="0.25">
      <c r="A153" s="372"/>
      <c r="B153" s="373"/>
      <c r="C153" s="374" t="s">
        <v>742</v>
      </c>
      <c r="D153" s="1035" t="s">
        <v>744</v>
      </c>
      <c r="E153" s="1036">
        <v>4000</v>
      </c>
      <c r="F153" s="421"/>
      <c r="G153" s="421"/>
      <c r="H153" s="421"/>
    </row>
    <row r="154" spans="1:11" ht="15" x14ac:dyDescent="0.25">
      <c r="A154" s="372"/>
      <c r="B154" s="373"/>
      <c r="C154" s="1034" t="s">
        <v>743</v>
      </c>
      <c r="D154" s="1035" t="s">
        <v>747</v>
      </c>
      <c r="E154" s="1036">
        <v>52800</v>
      </c>
      <c r="F154" s="1036"/>
      <c r="G154" s="1036"/>
      <c r="H154" s="1036" t="e">
        <f t="shared" si="2"/>
        <v>#DIV/0!</v>
      </c>
      <c r="I154" s="1031"/>
    </row>
    <row r="155" spans="1:11" ht="15" x14ac:dyDescent="0.25">
      <c r="A155" s="372"/>
      <c r="B155" s="373"/>
      <c r="C155" s="374" t="s">
        <v>745</v>
      </c>
      <c r="D155" s="1035" t="s">
        <v>748</v>
      </c>
      <c r="E155" s="1036">
        <v>7200</v>
      </c>
      <c r="F155" s="421"/>
      <c r="G155" s="421"/>
      <c r="H155" s="421"/>
    </row>
    <row r="156" spans="1:11" ht="15" x14ac:dyDescent="0.25">
      <c r="A156" s="372"/>
      <c r="B156" s="373"/>
      <c r="C156" s="374" t="s">
        <v>746</v>
      </c>
      <c r="D156" s="1035" t="s">
        <v>749</v>
      </c>
      <c r="E156" s="1036">
        <v>0</v>
      </c>
      <c r="F156" s="421"/>
      <c r="G156" s="421"/>
      <c r="H156" s="421" t="e">
        <f t="shared" si="2"/>
        <v>#DIV/0!</v>
      </c>
    </row>
    <row r="157" spans="1:11" ht="19.5" customHeight="1" x14ac:dyDescent="0.25">
      <c r="A157" s="1600" t="s">
        <v>750</v>
      </c>
      <c r="B157" s="1600"/>
      <c r="C157" s="1600"/>
      <c r="D157" s="1600"/>
      <c r="E157" s="324">
        <f>E151</f>
        <v>64000</v>
      </c>
      <c r="F157" s="324" t="e">
        <f>F151</f>
        <v>#REF!</v>
      </c>
      <c r="G157" s="324" t="e">
        <f>G151</f>
        <v>#REF!</v>
      </c>
      <c r="H157" s="324" t="e">
        <f t="shared" si="2"/>
        <v>#REF!</v>
      </c>
      <c r="K157" s="286"/>
    </row>
    <row r="158" spans="1:11" ht="19.5" customHeight="1" x14ac:dyDescent="0.25">
      <c r="A158" s="1594" t="s">
        <v>751</v>
      </c>
      <c r="B158" s="1594"/>
      <c r="C158" s="1594"/>
      <c r="D158" s="1594"/>
      <c r="E158" s="295">
        <f>E150+E157</f>
        <v>401432</v>
      </c>
      <c r="F158" s="295" t="e">
        <f>F150+F157</f>
        <v>#REF!</v>
      </c>
      <c r="G158" s="295" t="e">
        <f>G150+G157</f>
        <v>#REF!</v>
      </c>
      <c r="H158" s="295" t="e">
        <f t="shared" si="2"/>
        <v>#REF!</v>
      </c>
      <c r="I158" s="346"/>
      <c r="J158" s="346"/>
      <c r="K158" s="346"/>
    </row>
    <row r="159" spans="1:11" ht="19.5" customHeight="1" x14ac:dyDescent="0.3">
      <c r="A159" s="1607" t="s">
        <v>752</v>
      </c>
      <c r="B159" s="1607"/>
      <c r="C159" s="1607"/>
      <c r="D159" s="1607"/>
      <c r="E159" s="1607"/>
      <c r="F159" s="344"/>
      <c r="G159" s="344"/>
      <c r="H159" s="344"/>
      <c r="K159" s="286"/>
    </row>
    <row r="160" spans="1:11" ht="19.5" customHeight="1" x14ac:dyDescent="0.25">
      <c r="A160" s="1605" t="s">
        <v>537</v>
      </c>
      <c r="B160" s="1605"/>
      <c r="C160" s="1605"/>
      <c r="D160" s="1605"/>
      <c r="E160" s="422"/>
      <c r="F160" s="422"/>
      <c r="G160" s="422"/>
      <c r="H160" s="422"/>
      <c r="I160" s="346"/>
      <c r="J160" s="346"/>
      <c r="K160" s="346"/>
    </row>
    <row r="161" spans="1:9" ht="15" x14ac:dyDescent="0.25">
      <c r="A161" s="347"/>
      <c r="B161" s="348" t="s">
        <v>7</v>
      </c>
      <c r="C161" s="349"/>
      <c r="D161" s="350" t="s">
        <v>753</v>
      </c>
      <c r="E161" s="294">
        <f>SUM(E162:E164)</f>
        <v>284646</v>
      </c>
      <c r="F161" s="294">
        <f>SUM(F162:F164)</f>
        <v>0</v>
      </c>
      <c r="G161" s="294">
        <f>SUM(G162:G164)</f>
        <v>0</v>
      </c>
      <c r="H161" s="294" t="e">
        <f t="shared" si="2"/>
        <v>#DIV/0!</v>
      </c>
    </row>
    <row r="162" spans="1:9" ht="15" x14ac:dyDescent="0.25">
      <c r="A162" s="347"/>
      <c r="B162" s="348"/>
      <c r="C162" s="364" t="s">
        <v>754</v>
      </c>
      <c r="D162" s="309" t="s">
        <v>538</v>
      </c>
      <c r="E162" s="353">
        <v>9996</v>
      </c>
      <c r="F162" s="353"/>
      <c r="G162" s="353"/>
      <c r="H162" s="353" t="e">
        <f t="shared" si="2"/>
        <v>#DIV/0!</v>
      </c>
    </row>
    <row r="163" spans="1:9" ht="15" x14ac:dyDescent="0.25">
      <c r="A163" s="347"/>
      <c r="B163" s="348"/>
      <c r="C163" s="364" t="s">
        <v>755</v>
      </c>
      <c r="D163" s="309" t="s">
        <v>539</v>
      </c>
      <c r="E163" s="353">
        <v>2699</v>
      </c>
      <c r="F163" s="353"/>
      <c r="G163" s="353"/>
      <c r="H163" s="353" t="e">
        <f t="shared" si="2"/>
        <v>#DIV/0!</v>
      </c>
    </row>
    <row r="164" spans="1:9" ht="15" x14ac:dyDescent="0.25">
      <c r="A164" s="308"/>
      <c r="B164" s="363"/>
      <c r="C164" s="364" t="s">
        <v>756</v>
      </c>
      <c r="D164" s="309" t="s">
        <v>542</v>
      </c>
      <c r="E164" s="310">
        <f>SUM(E165:E169)</f>
        <v>271951</v>
      </c>
      <c r="F164" s="310"/>
      <c r="G164" s="310"/>
      <c r="H164" s="310" t="e">
        <f t="shared" si="2"/>
        <v>#DIV/0!</v>
      </c>
    </row>
    <row r="165" spans="1:9" ht="15" x14ac:dyDescent="0.25">
      <c r="A165" s="308"/>
      <c r="B165" s="363"/>
      <c r="C165" s="364"/>
      <c r="D165" s="309" t="s">
        <v>1524</v>
      </c>
      <c r="E165" s="310">
        <v>209051</v>
      </c>
      <c r="F165" s="310"/>
      <c r="G165" s="310"/>
      <c r="H165" s="310"/>
    </row>
    <row r="166" spans="1:9" ht="15" x14ac:dyDescent="0.25">
      <c r="A166" s="308"/>
      <c r="B166" s="363"/>
      <c r="C166" s="364"/>
      <c r="D166" s="309" t="s">
        <v>1521</v>
      </c>
      <c r="E166" s="310">
        <v>24700</v>
      </c>
      <c r="F166" s="310"/>
      <c r="G166" s="310"/>
      <c r="H166" s="310"/>
    </row>
    <row r="167" spans="1:9" ht="15" x14ac:dyDescent="0.25">
      <c r="A167" s="308"/>
      <c r="B167" s="363"/>
      <c r="C167" s="364"/>
      <c r="D167" s="309" t="s">
        <v>1522</v>
      </c>
      <c r="E167" s="310">
        <v>15600</v>
      </c>
      <c r="F167" s="310"/>
      <c r="G167" s="310"/>
      <c r="H167" s="310"/>
    </row>
    <row r="168" spans="1:9" ht="15" x14ac:dyDescent="0.25">
      <c r="A168" s="308"/>
      <c r="B168" s="363"/>
      <c r="C168" s="364"/>
      <c r="D168" s="309" t="s">
        <v>1523</v>
      </c>
      <c r="E168" s="310">
        <v>20600</v>
      </c>
      <c r="F168" s="310"/>
      <c r="G168" s="310"/>
      <c r="H168" s="310"/>
    </row>
    <row r="169" spans="1:9" ht="15" x14ac:dyDescent="0.25">
      <c r="A169" s="308"/>
      <c r="B169" s="363"/>
      <c r="C169" s="364"/>
      <c r="D169" s="309" t="s">
        <v>1525</v>
      </c>
      <c r="E169" s="310">
        <v>2000</v>
      </c>
      <c r="F169" s="310"/>
      <c r="G169" s="310"/>
      <c r="H169" s="310"/>
    </row>
    <row r="170" spans="1:9" ht="15" x14ac:dyDescent="0.25">
      <c r="A170" s="308"/>
      <c r="B170" s="363"/>
      <c r="C170" s="364"/>
      <c r="D170" s="355" t="s">
        <v>757</v>
      </c>
      <c r="E170" s="423">
        <v>8.5</v>
      </c>
      <c r="F170" s="423"/>
      <c r="G170" s="423"/>
      <c r="H170" s="423"/>
    </row>
    <row r="171" spans="1:9" ht="15" x14ac:dyDescent="0.25">
      <c r="A171" s="308"/>
      <c r="B171" s="291" t="s">
        <v>9</v>
      </c>
      <c r="C171" s="292"/>
      <c r="D171" s="355" t="s">
        <v>758</v>
      </c>
      <c r="E171" s="356">
        <f>SUM(E172)</f>
        <v>55000</v>
      </c>
      <c r="F171" s="356">
        <f>SUM(F172)</f>
        <v>0</v>
      </c>
      <c r="G171" s="356">
        <f>SUM(G172)</f>
        <v>0</v>
      </c>
      <c r="H171" s="356" t="e">
        <f t="shared" si="2"/>
        <v>#DIV/0!</v>
      </c>
    </row>
    <row r="172" spans="1:9" ht="15" x14ac:dyDescent="0.25">
      <c r="A172" s="308"/>
      <c r="B172" s="291"/>
      <c r="C172" s="364" t="s">
        <v>507</v>
      </c>
      <c r="D172" s="309" t="s">
        <v>542</v>
      </c>
      <c r="E172" s="310">
        <v>55000</v>
      </c>
      <c r="F172" s="310"/>
      <c r="G172" s="310"/>
      <c r="H172" s="310" t="e">
        <f t="shared" si="2"/>
        <v>#DIV/0!</v>
      </c>
    </row>
    <row r="173" spans="1:9" ht="29.25" hidden="1" customHeight="1" x14ac:dyDescent="0.2">
      <c r="A173" s="424"/>
      <c r="B173" s="348" t="s">
        <v>11</v>
      </c>
      <c r="C173" s="349"/>
      <c r="D173" s="425" t="s">
        <v>759</v>
      </c>
      <c r="E173" s="426"/>
      <c r="F173" s="426"/>
      <c r="G173" s="426"/>
      <c r="H173" s="426" t="e">
        <f t="shared" ref="H173:H221" si="3">G173/F173*100</f>
        <v>#DIV/0!</v>
      </c>
      <c r="I173" s="315"/>
    </row>
    <row r="174" spans="1:9" ht="15" hidden="1" customHeight="1" x14ac:dyDescent="0.25">
      <c r="A174" s="290"/>
      <c r="B174" s="291"/>
      <c r="C174" s="364" t="s">
        <v>509</v>
      </c>
      <c r="D174" s="309" t="s">
        <v>538</v>
      </c>
      <c r="E174" s="426"/>
      <c r="F174" s="426"/>
      <c r="G174" s="426"/>
      <c r="H174" s="426" t="e">
        <f t="shared" si="3"/>
        <v>#DIV/0!</v>
      </c>
    </row>
    <row r="175" spans="1:9" ht="15" hidden="1" customHeight="1" x14ac:dyDescent="0.25">
      <c r="A175" s="290"/>
      <c r="B175" s="291"/>
      <c r="C175" s="364" t="s">
        <v>760</v>
      </c>
      <c r="D175" s="309" t="s">
        <v>539</v>
      </c>
      <c r="E175" s="426"/>
      <c r="F175" s="426"/>
      <c r="G175" s="426"/>
      <c r="H175" s="426" t="e">
        <f t="shared" si="3"/>
        <v>#DIV/0!</v>
      </c>
    </row>
    <row r="176" spans="1:9" ht="15" hidden="1" customHeight="1" x14ac:dyDescent="0.25">
      <c r="A176" s="290"/>
      <c r="B176" s="291"/>
      <c r="C176" s="364" t="s">
        <v>761</v>
      </c>
      <c r="D176" s="309" t="s">
        <v>542</v>
      </c>
      <c r="E176" s="426"/>
      <c r="F176" s="426"/>
      <c r="G176" s="426"/>
      <c r="H176" s="426" t="e">
        <f t="shared" si="3"/>
        <v>#DIV/0!</v>
      </c>
    </row>
    <row r="177" spans="1:8" ht="15" hidden="1" customHeight="1" x14ac:dyDescent="0.2">
      <c r="A177" s="290"/>
      <c r="B177" s="291"/>
      <c r="C177" s="427"/>
      <c r="D177" s="355" t="s">
        <v>757</v>
      </c>
      <c r="E177" s="428"/>
      <c r="F177" s="428"/>
      <c r="G177" s="428"/>
      <c r="H177" s="428" t="e">
        <f t="shared" si="3"/>
        <v>#DIV/0!</v>
      </c>
    </row>
    <row r="178" spans="1:8" ht="15" customHeight="1" x14ac:dyDescent="0.2">
      <c r="A178" s="290"/>
      <c r="B178" s="291" t="s">
        <v>11</v>
      </c>
      <c r="C178" s="292"/>
      <c r="D178" s="355" t="s">
        <v>762</v>
      </c>
      <c r="E178" s="429">
        <f>SUM(E179:E181)</f>
        <v>11965</v>
      </c>
      <c r="F178" s="429">
        <f>SUM(F179:F181)</f>
        <v>0</v>
      </c>
      <c r="G178" s="429">
        <f>SUM(G179:G181)</f>
        <v>0</v>
      </c>
      <c r="H178" s="429" t="e">
        <f t="shared" si="3"/>
        <v>#DIV/0!</v>
      </c>
    </row>
    <row r="179" spans="1:8" ht="15" customHeight="1" x14ac:dyDescent="0.25">
      <c r="A179" s="290"/>
      <c r="B179" s="291"/>
      <c r="C179" s="364" t="s">
        <v>763</v>
      </c>
      <c r="D179" s="309" t="s">
        <v>538</v>
      </c>
      <c r="E179" s="310">
        <v>4059</v>
      </c>
      <c r="F179" s="310"/>
      <c r="G179" s="310"/>
      <c r="H179" s="310" t="e">
        <f t="shared" si="3"/>
        <v>#DIV/0!</v>
      </c>
    </row>
    <row r="180" spans="1:8" ht="15" customHeight="1" x14ac:dyDescent="0.25">
      <c r="A180" s="290"/>
      <c r="B180" s="291"/>
      <c r="C180" s="364" t="s">
        <v>764</v>
      </c>
      <c r="D180" s="309" t="s">
        <v>539</v>
      </c>
      <c r="E180" s="310">
        <v>748</v>
      </c>
      <c r="F180" s="310"/>
      <c r="G180" s="310"/>
      <c r="H180" s="310" t="e">
        <f t="shared" si="3"/>
        <v>#DIV/0!</v>
      </c>
    </row>
    <row r="181" spans="1:8" ht="15" customHeight="1" x14ac:dyDescent="0.25">
      <c r="A181" s="290"/>
      <c r="B181" s="291"/>
      <c r="C181" s="364" t="s">
        <v>765</v>
      </c>
      <c r="D181" s="309" t="s">
        <v>542</v>
      </c>
      <c r="E181" s="310">
        <v>7158</v>
      </c>
      <c r="F181" s="310"/>
      <c r="G181" s="310"/>
      <c r="H181" s="310" t="e">
        <f t="shared" si="3"/>
        <v>#DIV/0!</v>
      </c>
    </row>
    <row r="182" spans="1:8" ht="15" customHeight="1" x14ac:dyDescent="0.2">
      <c r="A182" s="290"/>
      <c r="B182" s="291"/>
      <c r="C182" s="292"/>
      <c r="D182" s="355" t="s">
        <v>757</v>
      </c>
      <c r="E182" s="423">
        <v>37.5</v>
      </c>
      <c r="F182" s="428"/>
      <c r="G182" s="428"/>
      <c r="H182" s="428" t="e">
        <f t="shared" si="3"/>
        <v>#DIV/0!</v>
      </c>
    </row>
    <row r="183" spans="1:8" ht="15" customHeight="1" x14ac:dyDescent="0.2">
      <c r="A183" s="290"/>
      <c r="B183" s="291" t="s">
        <v>13</v>
      </c>
      <c r="C183" s="292"/>
      <c r="D183" s="355" t="s">
        <v>766</v>
      </c>
      <c r="E183" s="429">
        <f>SUM(E184:E186)</f>
        <v>17171</v>
      </c>
      <c r="F183" s="429">
        <f>SUM(F184:F186)</f>
        <v>0</v>
      </c>
      <c r="G183" s="429">
        <f>SUM(G184:G186)</f>
        <v>0</v>
      </c>
      <c r="H183" s="429" t="e">
        <f t="shared" si="3"/>
        <v>#DIV/0!</v>
      </c>
    </row>
    <row r="184" spans="1:8" ht="15" customHeight="1" x14ac:dyDescent="0.25">
      <c r="A184" s="290"/>
      <c r="B184" s="291"/>
      <c r="C184" s="364" t="s">
        <v>767</v>
      </c>
      <c r="D184" s="309" t="s">
        <v>538</v>
      </c>
      <c r="E184" s="310">
        <v>1335</v>
      </c>
      <c r="F184" s="310"/>
      <c r="G184" s="310"/>
      <c r="H184" s="310" t="e">
        <f t="shared" si="3"/>
        <v>#DIV/0!</v>
      </c>
    </row>
    <row r="185" spans="1:8" ht="15" customHeight="1" x14ac:dyDescent="0.25">
      <c r="A185" s="290"/>
      <c r="B185" s="291"/>
      <c r="C185" s="364" t="s">
        <v>768</v>
      </c>
      <c r="D185" s="309" t="s">
        <v>539</v>
      </c>
      <c r="E185" s="310">
        <v>345</v>
      </c>
      <c r="F185" s="310"/>
      <c r="G185" s="310"/>
      <c r="H185" s="310" t="e">
        <f t="shared" si="3"/>
        <v>#DIV/0!</v>
      </c>
    </row>
    <row r="186" spans="1:8" ht="15" customHeight="1" x14ac:dyDescent="0.25">
      <c r="A186" s="290"/>
      <c r="B186" s="291"/>
      <c r="C186" s="364" t="s">
        <v>769</v>
      </c>
      <c r="D186" s="309" t="s">
        <v>542</v>
      </c>
      <c r="E186" s="310">
        <v>15491</v>
      </c>
      <c r="F186" s="310"/>
      <c r="G186" s="310"/>
      <c r="H186" s="310" t="e">
        <f t="shared" si="3"/>
        <v>#DIV/0!</v>
      </c>
    </row>
    <row r="187" spans="1:8" ht="15" customHeight="1" x14ac:dyDescent="0.2">
      <c r="A187" s="290"/>
      <c r="B187" s="291"/>
      <c r="C187" s="292"/>
      <c r="D187" s="355" t="s">
        <v>757</v>
      </c>
      <c r="E187" s="428">
        <v>1</v>
      </c>
      <c r="F187" s="428"/>
      <c r="G187" s="428"/>
      <c r="H187" s="428" t="e">
        <f t="shared" si="3"/>
        <v>#DIV/0!</v>
      </c>
    </row>
    <row r="188" spans="1:8" ht="15" customHeight="1" x14ac:dyDescent="0.2">
      <c r="A188" s="290"/>
      <c r="B188" s="291" t="s">
        <v>15</v>
      </c>
      <c r="C188" s="292"/>
      <c r="D188" s="355" t="s">
        <v>770</v>
      </c>
      <c r="E188" s="429">
        <f>SUM(E189)</f>
        <v>3810</v>
      </c>
      <c r="F188" s="429">
        <f>SUM(F189)</f>
        <v>0</v>
      </c>
      <c r="G188" s="429">
        <f>SUM(G189)</f>
        <v>0</v>
      </c>
      <c r="H188" s="429" t="e">
        <f t="shared" si="3"/>
        <v>#DIV/0!</v>
      </c>
    </row>
    <row r="189" spans="1:8" ht="15" customHeight="1" x14ac:dyDescent="0.25">
      <c r="A189" s="290"/>
      <c r="B189" s="291"/>
      <c r="C189" s="364" t="s">
        <v>720</v>
      </c>
      <c r="D189" s="309" t="s">
        <v>542</v>
      </c>
      <c r="E189" s="310">
        <v>3810</v>
      </c>
      <c r="F189" s="310"/>
      <c r="G189" s="310"/>
      <c r="H189" s="310" t="e">
        <f t="shared" si="3"/>
        <v>#DIV/0!</v>
      </c>
    </row>
    <row r="190" spans="1:8" ht="15" customHeight="1" x14ac:dyDescent="0.2">
      <c r="A190" s="290"/>
      <c r="B190" s="291" t="s">
        <v>17</v>
      </c>
      <c r="C190" s="292"/>
      <c r="D190" s="355" t="s">
        <v>771</v>
      </c>
      <c r="E190" s="429">
        <f>SUM(E191)</f>
        <v>12145</v>
      </c>
      <c r="F190" s="429">
        <f>SUM(F191)</f>
        <v>0</v>
      </c>
      <c r="G190" s="429">
        <f>SUM(G191)</f>
        <v>0</v>
      </c>
      <c r="H190" s="429" t="e">
        <f t="shared" si="3"/>
        <v>#DIV/0!</v>
      </c>
    </row>
    <row r="191" spans="1:8" ht="15" customHeight="1" x14ac:dyDescent="0.25">
      <c r="A191" s="290"/>
      <c r="B191" s="291"/>
      <c r="C191" s="364" t="s">
        <v>772</v>
      </c>
      <c r="D191" s="309" t="s">
        <v>542</v>
      </c>
      <c r="E191" s="310">
        <v>12145</v>
      </c>
      <c r="F191" s="310"/>
      <c r="G191" s="310"/>
      <c r="H191" s="310" t="e">
        <f t="shared" si="3"/>
        <v>#DIV/0!</v>
      </c>
    </row>
    <row r="192" spans="1:8" ht="15" customHeight="1" x14ac:dyDescent="0.2">
      <c r="A192" s="290"/>
      <c r="B192" s="291" t="s">
        <v>19</v>
      </c>
      <c r="C192" s="292"/>
      <c r="D192" s="355" t="s">
        <v>773</v>
      </c>
      <c r="E192" s="356">
        <f>SUM(E193)</f>
        <v>50000</v>
      </c>
      <c r="F192" s="356">
        <f>SUM(F193)</f>
        <v>0</v>
      </c>
      <c r="G192" s="356">
        <f>SUM(G193)</f>
        <v>0</v>
      </c>
      <c r="H192" s="356" t="e">
        <f t="shared" si="3"/>
        <v>#DIV/0!</v>
      </c>
    </row>
    <row r="193" spans="1:8" ht="15" customHeight="1" x14ac:dyDescent="0.25">
      <c r="A193" s="308"/>
      <c r="B193" s="363"/>
      <c r="C193" s="364" t="s">
        <v>774</v>
      </c>
      <c r="D193" s="309" t="s">
        <v>542</v>
      </c>
      <c r="E193" s="310">
        <v>50000</v>
      </c>
      <c r="F193" s="310"/>
      <c r="G193" s="310"/>
      <c r="H193" s="310" t="e">
        <f t="shared" si="3"/>
        <v>#DIV/0!</v>
      </c>
    </row>
    <row r="194" spans="1:8" ht="15" hidden="1" customHeight="1" x14ac:dyDescent="0.2">
      <c r="A194" s="290"/>
      <c r="B194" s="291" t="s">
        <v>15</v>
      </c>
      <c r="C194" s="292"/>
      <c r="D194" s="355" t="s">
        <v>775</v>
      </c>
      <c r="E194" s="426"/>
      <c r="F194" s="426"/>
      <c r="G194" s="426"/>
      <c r="H194" s="426" t="e">
        <f t="shared" si="3"/>
        <v>#DIV/0!</v>
      </c>
    </row>
    <row r="195" spans="1:8" ht="15" hidden="1" customHeight="1" x14ac:dyDescent="0.25">
      <c r="A195" s="308"/>
      <c r="B195" s="363"/>
      <c r="C195" s="364" t="s">
        <v>776</v>
      </c>
      <c r="D195" s="309" t="s">
        <v>542</v>
      </c>
      <c r="E195" s="320"/>
      <c r="F195" s="320"/>
      <c r="G195" s="320"/>
      <c r="H195" s="320" t="e">
        <f t="shared" si="3"/>
        <v>#DIV/0!</v>
      </c>
    </row>
    <row r="196" spans="1:8" ht="15" hidden="1" customHeight="1" x14ac:dyDescent="0.2">
      <c r="A196" s="290"/>
      <c r="B196" s="291" t="s">
        <v>17</v>
      </c>
      <c r="C196" s="292"/>
      <c r="D196" s="355" t="s">
        <v>777</v>
      </c>
      <c r="E196" s="426"/>
      <c r="F196" s="426"/>
      <c r="G196" s="426"/>
      <c r="H196" s="426" t="e">
        <f t="shared" si="3"/>
        <v>#DIV/0!</v>
      </c>
    </row>
    <row r="197" spans="1:8" ht="15" hidden="1" customHeight="1" x14ac:dyDescent="0.25">
      <c r="A197" s="308"/>
      <c r="B197" s="363"/>
      <c r="C197" s="364" t="s">
        <v>778</v>
      </c>
      <c r="D197" s="309" t="s">
        <v>538</v>
      </c>
      <c r="E197" s="320"/>
      <c r="F197" s="320"/>
      <c r="G197" s="320"/>
      <c r="H197" s="320" t="e">
        <f t="shared" si="3"/>
        <v>#DIV/0!</v>
      </c>
    </row>
    <row r="198" spans="1:8" ht="15" hidden="1" customHeight="1" x14ac:dyDescent="0.25">
      <c r="A198" s="308"/>
      <c r="B198" s="363"/>
      <c r="C198" s="364" t="s">
        <v>779</v>
      </c>
      <c r="D198" s="309" t="s">
        <v>539</v>
      </c>
      <c r="E198" s="320"/>
      <c r="F198" s="320"/>
      <c r="G198" s="320"/>
      <c r="H198" s="320" t="e">
        <f t="shared" si="3"/>
        <v>#DIV/0!</v>
      </c>
    </row>
    <row r="199" spans="1:8" ht="15" hidden="1" customHeight="1" x14ac:dyDescent="0.25">
      <c r="A199" s="308"/>
      <c r="B199" s="363"/>
      <c r="C199" s="364" t="s">
        <v>780</v>
      </c>
      <c r="D199" s="309" t="s">
        <v>542</v>
      </c>
      <c r="E199" s="320"/>
      <c r="F199" s="320"/>
      <c r="G199" s="320"/>
      <c r="H199" s="320" t="e">
        <f t="shared" si="3"/>
        <v>#DIV/0!</v>
      </c>
    </row>
    <row r="200" spans="1:8" ht="15" hidden="1" customHeight="1" x14ac:dyDescent="0.25">
      <c r="A200" s="308"/>
      <c r="B200" s="363"/>
      <c r="C200" s="292" t="s">
        <v>781</v>
      </c>
      <c r="D200" s="355" t="s">
        <v>757</v>
      </c>
      <c r="E200" s="430"/>
      <c r="F200" s="430"/>
      <c r="G200" s="430"/>
      <c r="H200" s="430" t="e">
        <f t="shared" si="3"/>
        <v>#DIV/0!</v>
      </c>
    </row>
    <row r="201" spans="1:8" ht="15" customHeight="1" x14ac:dyDescent="0.25">
      <c r="A201" s="308"/>
      <c r="B201" s="291" t="s">
        <v>524</v>
      </c>
      <c r="C201" s="292"/>
      <c r="D201" s="355" t="s">
        <v>782</v>
      </c>
      <c r="E201" s="429">
        <f>SUM(E202)</f>
        <v>32000</v>
      </c>
      <c r="F201" s="429">
        <f>SUM(F202)</f>
        <v>0</v>
      </c>
      <c r="G201" s="429">
        <f>SUM(G202)</f>
        <v>0</v>
      </c>
      <c r="H201" s="429" t="e">
        <f t="shared" si="3"/>
        <v>#DIV/0!</v>
      </c>
    </row>
    <row r="202" spans="1:8" ht="15" customHeight="1" x14ac:dyDescent="0.25">
      <c r="A202" s="308"/>
      <c r="B202" s="363"/>
      <c r="C202" s="292" t="s">
        <v>783</v>
      </c>
      <c r="D202" s="309" t="s">
        <v>542</v>
      </c>
      <c r="E202" s="310">
        <v>32000</v>
      </c>
      <c r="F202" s="310"/>
      <c r="G202" s="310"/>
      <c r="H202" s="310" t="e">
        <f t="shared" si="3"/>
        <v>#DIV/0!</v>
      </c>
    </row>
    <row r="203" spans="1:8" ht="15" customHeight="1" x14ac:dyDescent="0.2">
      <c r="A203" s="290"/>
      <c r="B203" s="291" t="s">
        <v>732</v>
      </c>
      <c r="C203" s="292"/>
      <c r="D203" s="431" t="s">
        <v>784</v>
      </c>
      <c r="E203" s="356">
        <f>SUM(E204:E206)</f>
        <v>6706</v>
      </c>
      <c r="F203" s="356">
        <f>SUM(F204:F206)</f>
        <v>0</v>
      </c>
      <c r="G203" s="356">
        <f>SUM(G204:G206)</f>
        <v>0</v>
      </c>
      <c r="H203" s="356" t="e">
        <f t="shared" si="3"/>
        <v>#DIV/0!</v>
      </c>
    </row>
    <row r="204" spans="1:8" ht="15" customHeight="1" x14ac:dyDescent="0.25">
      <c r="A204" s="308"/>
      <c r="B204" s="363"/>
      <c r="C204" s="364" t="s">
        <v>785</v>
      </c>
      <c r="D204" s="309" t="s">
        <v>538</v>
      </c>
      <c r="E204" s="310">
        <v>780</v>
      </c>
      <c r="F204" s="310"/>
      <c r="G204" s="310"/>
      <c r="H204" s="310" t="e">
        <f t="shared" si="3"/>
        <v>#DIV/0!</v>
      </c>
    </row>
    <row r="205" spans="1:8" ht="15" x14ac:dyDescent="0.25">
      <c r="A205" s="308"/>
      <c r="B205" s="363"/>
      <c r="C205" s="364" t="s">
        <v>786</v>
      </c>
      <c r="D205" s="309" t="s">
        <v>539</v>
      </c>
      <c r="E205" s="310">
        <v>211</v>
      </c>
      <c r="F205" s="310"/>
      <c r="G205" s="310"/>
      <c r="H205" s="310" t="e">
        <f t="shared" si="3"/>
        <v>#DIV/0!</v>
      </c>
    </row>
    <row r="206" spans="1:8" ht="15" customHeight="1" x14ac:dyDescent="0.25">
      <c r="A206" s="308"/>
      <c r="B206" s="363"/>
      <c r="C206" s="364" t="s">
        <v>787</v>
      </c>
      <c r="D206" s="309" t="s">
        <v>542</v>
      </c>
      <c r="E206" s="310">
        <v>5715</v>
      </c>
      <c r="F206" s="310"/>
      <c r="G206" s="310"/>
      <c r="H206" s="310" t="e">
        <f t="shared" si="3"/>
        <v>#DIV/0!</v>
      </c>
    </row>
    <row r="207" spans="1:8" ht="15" hidden="1" customHeight="1" x14ac:dyDescent="0.25">
      <c r="A207" s="308"/>
      <c r="B207" s="291" t="s">
        <v>738</v>
      </c>
      <c r="C207" s="292"/>
      <c r="D207" s="355" t="s">
        <v>788</v>
      </c>
      <c r="E207" s="429">
        <f>SUM(E208)</f>
        <v>0</v>
      </c>
      <c r="F207" s="429">
        <f>SUM(F208)</f>
        <v>0</v>
      </c>
      <c r="G207" s="429">
        <f>SUM(G208)</f>
        <v>0</v>
      </c>
      <c r="H207" s="429"/>
    </row>
    <row r="208" spans="1:8" ht="15" hidden="1" x14ac:dyDescent="0.25">
      <c r="A208" s="308"/>
      <c r="B208" s="363"/>
      <c r="C208" s="364" t="s">
        <v>740</v>
      </c>
      <c r="D208" s="309" t="s">
        <v>542</v>
      </c>
      <c r="E208" s="310">
        <v>0</v>
      </c>
      <c r="F208" s="310">
        <v>0</v>
      </c>
      <c r="G208" s="310">
        <v>0</v>
      </c>
      <c r="H208" s="310"/>
    </row>
    <row r="209" spans="1:18" ht="14.25" hidden="1" x14ac:dyDescent="0.2">
      <c r="A209" s="384"/>
      <c r="B209" s="385" t="s">
        <v>732</v>
      </c>
      <c r="C209" s="391"/>
      <c r="D209" s="392" t="s">
        <v>789</v>
      </c>
      <c r="E209" s="393"/>
      <c r="F209" s="393"/>
      <c r="G209" s="393"/>
      <c r="H209" s="393" t="e">
        <f t="shared" si="3"/>
        <v>#DIV/0!</v>
      </c>
    </row>
    <row r="210" spans="1:18" ht="20.25" x14ac:dyDescent="0.3">
      <c r="A210" s="1606" t="s">
        <v>790</v>
      </c>
      <c r="B210" s="1606"/>
      <c r="C210" s="1606"/>
      <c r="D210" s="1606"/>
      <c r="E210" s="1606"/>
      <c r="F210" s="1606"/>
      <c r="G210" s="1606"/>
      <c r="H210" s="1606"/>
      <c r="K210" s="286"/>
    </row>
    <row r="211" spans="1:18" ht="15.75" x14ac:dyDescent="0.25">
      <c r="A211" s="347"/>
      <c r="B211" s="348" t="s">
        <v>103</v>
      </c>
      <c r="C211" s="349"/>
      <c r="D211" s="350" t="s">
        <v>538</v>
      </c>
      <c r="E211" s="294">
        <f t="shared" ref="E211:G212" si="4">SUM(E162+E179+E184+E204)</f>
        <v>16170</v>
      </c>
      <c r="F211" s="294">
        <f t="shared" si="4"/>
        <v>0</v>
      </c>
      <c r="G211" s="294">
        <f t="shared" si="4"/>
        <v>0</v>
      </c>
      <c r="H211" s="294" t="e">
        <f t="shared" si="3"/>
        <v>#DIV/0!</v>
      </c>
      <c r="J211" s="335"/>
      <c r="L211" s="335"/>
      <c r="M211" s="432"/>
      <c r="N211" s="433"/>
      <c r="O211" s="434"/>
      <c r="P211" s="434"/>
      <c r="Q211" s="434"/>
      <c r="R211" s="434"/>
    </row>
    <row r="212" spans="1:18" ht="15.75" x14ac:dyDescent="0.25">
      <c r="A212" s="308"/>
      <c r="B212" s="291" t="s">
        <v>105</v>
      </c>
      <c r="C212" s="292"/>
      <c r="D212" s="355" t="s">
        <v>539</v>
      </c>
      <c r="E212" s="356">
        <f t="shared" si="4"/>
        <v>4003</v>
      </c>
      <c r="F212" s="356">
        <f t="shared" si="4"/>
        <v>0</v>
      </c>
      <c r="G212" s="356">
        <f t="shared" si="4"/>
        <v>0</v>
      </c>
      <c r="H212" s="356" t="e">
        <f t="shared" si="3"/>
        <v>#DIV/0!</v>
      </c>
      <c r="J212" s="335"/>
      <c r="L212" s="335"/>
      <c r="M212" s="432"/>
      <c r="N212" s="433"/>
      <c r="O212" s="433"/>
      <c r="P212" s="433"/>
      <c r="Q212" s="433"/>
      <c r="R212" s="433"/>
    </row>
    <row r="213" spans="1:18" ht="15.75" x14ac:dyDescent="0.25">
      <c r="A213" s="308"/>
      <c r="B213" s="291" t="s">
        <v>107</v>
      </c>
      <c r="C213" s="292"/>
      <c r="D213" s="355" t="s">
        <v>542</v>
      </c>
      <c r="E213" s="356">
        <f>SUM(E164+E172+E181+E186+E189+E191+E193+E202+E208+E206)</f>
        <v>453270</v>
      </c>
      <c r="F213" s="356">
        <f>SUM(F164+F172+F181+F186+F189+F191+F193+F202+F208+F206)</f>
        <v>0</v>
      </c>
      <c r="G213" s="356">
        <f>SUM(G164+G172+G181+G186+G189+G191+G193+G202+G208+G206)</f>
        <v>0</v>
      </c>
      <c r="H213" s="356" t="e">
        <f t="shared" si="3"/>
        <v>#DIV/0!</v>
      </c>
      <c r="J213" s="335"/>
      <c r="L213" s="335"/>
      <c r="M213" s="432"/>
      <c r="N213" s="433"/>
      <c r="O213" s="433"/>
      <c r="P213" s="435"/>
      <c r="Q213" s="435"/>
      <c r="R213" s="436"/>
    </row>
    <row r="214" spans="1:18" ht="19.5" customHeight="1" x14ac:dyDescent="0.25">
      <c r="A214" s="1594" t="s">
        <v>715</v>
      </c>
      <c r="B214" s="1594"/>
      <c r="C214" s="1594"/>
      <c r="D214" s="1594"/>
      <c r="E214" s="333">
        <f>SUM(E211:E213)</f>
        <v>473443</v>
      </c>
      <c r="F214" s="333">
        <f>SUM(F211:F213)</f>
        <v>0</v>
      </c>
      <c r="G214" s="333">
        <f>SUM(G211:G213)</f>
        <v>0</v>
      </c>
      <c r="H214" s="333" t="e">
        <f t="shared" si="3"/>
        <v>#DIV/0!</v>
      </c>
      <c r="I214" s="346"/>
      <c r="J214" s="346"/>
      <c r="K214" s="346"/>
      <c r="N214" s="433"/>
      <c r="O214" s="433"/>
      <c r="P214" s="435"/>
      <c r="Q214" s="435"/>
      <c r="R214" s="436"/>
    </row>
    <row r="215" spans="1:18" s="301" customFormat="1" ht="16.5" hidden="1" x14ac:dyDescent="0.25">
      <c r="A215" s="334"/>
      <c r="B215" s="297"/>
      <c r="C215" s="298" t="s">
        <v>7</v>
      </c>
      <c r="D215" s="299" t="s">
        <v>717</v>
      </c>
      <c r="E215" s="300" t="e">
        <f>SUM(#REF!)</f>
        <v>#REF!</v>
      </c>
      <c r="F215" s="300" t="e">
        <f>SUM(#REF!)</f>
        <v>#REF!</v>
      </c>
      <c r="G215" s="300" t="e">
        <f>SUM(#REF!)</f>
        <v>#REF!</v>
      </c>
      <c r="H215" s="300" t="e">
        <f t="shared" si="3"/>
        <v>#REF!</v>
      </c>
      <c r="N215" s="433"/>
      <c r="O215" s="433"/>
      <c r="P215" s="435"/>
      <c r="Q215" s="435"/>
      <c r="R215" s="436"/>
    </row>
    <row r="216" spans="1:18" s="301" customFormat="1" ht="16.5" hidden="1" x14ac:dyDescent="0.25">
      <c r="A216" s="334"/>
      <c r="B216" s="297"/>
      <c r="C216" s="298" t="s">
        <v>9</v>
      </c>
      <c r="D216" s="299" t="s">
        <v>134</v>
      </c>
      <c r="E216" s="300" t="e">
        <f>SUM(#REF!)</f>
        <v>#REF!</v>
      </c>
      <c r="F216" s="300" t="e">
        <f>SUM(#REF!)</f>
        <v>#REF!</v>
      </c>
      <c r="G216" s="300" t="e">
        <f>SUM(#REF!)</f>
        <v>#REF!</v>
      </c>
      <c r="H216" s="300" t="e">
        <f t="shared" si="3"/>
        <v>#REF!</v>
      </c>
    </row>
    <row r="217" spans="1:18" ht="19.5" hidden="1" customHeight="1" x14ac:dyDescent="0.25">
      <c r="A217" s="1594" t="s">
        <v>751</v>
      </c>
      <c r="B217" s="1594"/>
      <c r="C217" s="1594"/>
      <c r="D217" s="1594"/>
      <c r="E217" s="295" t="e">
        <f>E215+E216</f>
        <v>#REF!</v>
      </c>
      <c r="F217" s="295" t="e">
        <f>F215+F216</f>
        <v>#REF!</v>
      </c>
      <c r="G217" s="295" t="e">
        <f>G215+G216</f>
        <v>#REF!</v>
      </c>
      <c r="H217" s="295" t="e">
        <f t="shared" si="3"/>
        <v>#REF!</v>
      </c>
      <c r="I217" s="346"/>
      <c r="J217" s="346"/>
      <c r="K217" s="346"/>
    </row>
    <row r="218" spans="1:18" s="301" customFormat="1" ht="16.5" x14ac:dyDescent="0.25">
      <c r="A218" s="334"/>
      <c r="B218" s="297"/>
      <c r="C218" s="298"/>
      <c r="D218" s="299" t="s">
        <v>791</v>
      </c>
      <c r="E218" s="300"/>
      <c r="F218" s="300"/>
      <c r="G218" s="300"/>
      <c r="H218" s="300"/>
    </row>
    <row r="219" spans="1:18" ht="21.75" customHeight="1" x14ac:dyDescent="0.3">
      <c r="A219" s="336"/>
      <c r="B219" s="337"/>
      <c r="C219" s="338"/>
      <c r="D219" s="339" t="s">
        <v>792</v>
      </c>
      <c r="E219" s="437">
        <f>E214+E158+E126+E218</f>
        <v>1274967</v>
      </c>
      <c r="F219" s="437" t="e">
        <f>F214+F158+F126+F218</f>
        <v>#REF!</v>
      </c>
      <c r="G219" s="437" t="e">
        <f>G214+G158+G126+G218</f>
        <v>#REF!</v>
      </c>
      <c r="H219" s="437" t="e">
        <f t="shared" si="3"/>
        <v>#REF!</v>
      </c>
      <c r="L219" s="438"/>
    </row>
    <row r="220" spans="1:18" ht="18.75" x14ac:dyDescent="0.3">
      <c r="A220" s="439" t="s">
        <v>793</v>
      </c>
      <c r="B220" s="427"/>
      <c r="C220" s="427"/>
      <c r="D220" s="440"/>
      <c r="E220" s="310">
        <v>0</v>
      </c>
      <c r="F220" s="310">
        <v>0</v>
      </c>
      <c r="G220" s="310">
        <v>0</v>
      </c>
      <c r="H220" s="310"/>
    </row>
    <row r="221" spans="1:18" ht="21" customHeight="1" x14ac:dyDescent="0.3">
      <c r="A221" s="441" t="s">
        <v>794</v>
      </c>
      <c r="B221" s="442"/>
      <c r="C221" s="443"/>
      <c r="D221" s="444"/>
      <c r="E221" s="445">
        <f>SUM(E219-E220)</f>
        <v>1274967</v>
      </c>
      <c r="F221" s="445" t="e">
        <f>SUM(F219-F220)</f>
        <v>#REF!</v>
      </c>
      <c r="G221" s="445" t="e">
        <f>SUM(G219-G220)</f>
        <v>#REF!</v>
      </c>
      <c r="H221" s="445" t="e">
        <f t="shared" si="3"/>
        <v>#REF!</v>
      </c>
    </row>
  </sheetData>
  <sheetProtection selectLockedCells="1" selectUnlockedCells="1"/>
  <mergeCells count="19">
    <mergeCell ref="F210:H210"/>
    <mergeCell ref="A214:D214"/>
    <mergeCell ref="A150:D150"/>
    <mergeCell ref="A157:D157"/>
    <mergeCell ref="A217:D217"/>
    <mergeCell ref="A158:D158"/>
    <mergeCell ref="A159:E159"/>
    <mergeCell ref="A160:D160"/>
    <mergeCell ref="A210:E210"/>
    <mergeCell ref="A116:D116"/>
    <mergeCell ref="A125:D125"/>
    <mergeCell ref="A126:D126"/>
    <mergeCell ref="A145:D145"/>
    <mergeCell ref="A149:D149"/>
    <mergeCell ref="A1:C1"/>
    <mergeCell ref="A2:E2"/>
    <mergeCell ref="A3:D3"/>
    <mergeCell ref="A111:D111"/>
    <mergeCell ref="A115:D115"/>
  </mergeCells>
  <printOptions horizontalCentered="1"/>
  <pageMargins left="0.19685039370078741" right="0.19685039370078741" top="0.74803149606299213" bottom="0.51181102362204722" header="0.15748031496062992" footer="0.23622047244094491"/>
  <pageSetup paperSize="9" firstPageNumber="57" orientation="portrait" useFirstPageNumber="1" r:id="rId1"/>
  <headerFooter alignWithMargins="0">
    <oddHeader>&amp;C&amp;"Times New Roman,Félkövér"&amp;14
Vecsés Város Önkormányzatának  2013. évi kiadásai feladatonként&amp;R&amp;"Times New Roman,Normál"&amp;12 3.2. sz. melléklet
Ezer Ft</oddHeader>
    <oddFooter>&amp;C- &amp;P -</oddFooter>
  </headerFooter>
  <rowBreaks count="3" manualBreakCount="3">
    <brk id="49" max="7" man="1"/>
    <brk id="136" max="7" man="1"/>
    <brk id="182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topLeftCell="A7" zoomScale="120" zoomScaleSheetLayoutView="120" workbookViewId="0">
      <selection activeCell="D29" sqref="D29"/>
    </sheetView>
  </sheetViews>
  <sheetFormatPr defaultRowHeight="15" x14ac:dyDescent="0.2"/>
  <cols>
    <col min="1" max="1" width="9.6640625" style="161" customWidth="1"/>
    <col min="2" max="2" width="12.83203125" style="162" customWidth="1"/>
    <col min="3" max="3" width="60.6640625" style="162" customWidth="1"/>
    <col min="4" max="4" width="18" style="187" customWidth="1"/>
    <col min="5" max="6" width="18" style="187" hidden="1" customWidth="1"/>
    <col min="7" max="7" width="10.33203125" style="187" hidden="1" customWidth="1"/>
    <col min="8" max="8" width="9.83203125" style="162" bestFit="1" customWidth="1"/>
    <col min="9" max="9" width="11.5" style="162" bestFit="1" customWidth="1"/>
    <col min="10" max="10" width="9.83203125" style="162" customWidth="1"/>
    <col min="11" max="16384" width="9.33203125" style="162"/>
  </cols>
  <sheetData>
    <row r="1" spans="1:10" s="449" customFormat="1" ht="21" customHeight="1" x14ac:dyDescent="0.2">
      <c r="A1" s="446"/>
      <c r="B1" s="447"/>
      <c r="C1" s="448"/>
      <c r="D1" s="1609" t="s">
        <v>795</v>
      </c>
      <c r="E1" s="1609"/>
      <c r="F1" s="1609"/>
      <c r="G1" s="1609"/>
    </row>
    <row r="2" spans="1:10" s="165" customFormat="1" ht="28.5" customHeight="1" x14ac:dyDescent="0.2">
      <c r="A2" s="1570" t="s">
        <v>796</v>
      </c>
      <c r="B2" s="1570"/>
      <c r="C2" s="164" t="s">
        <v>797</v>
      </c>
      <c r="D2" s="164"/>
      <c r="E2" s="164"/>
      <c r="F2" s="164"/>
      <c r="G2" s="164"/>
    </row>
    <row r="3" spans="1:10" s="165" customFormat="1" ht="32.25" customHeight="1" x14ac:dyDescent="0.2">
      <c r="A3" s="1572" t="s">
        <v>264</v>
      </c>
      <c r="B3" s="1572"/>
      <c r="C3" s="166" t="s">
        <v>265</v>
      </c>
      <c r="D3" s="450"/>
      <c r="E3" s="450"/>
      <c r="F3" s="450"/>
      <c r="G3" s="450"/>
    </row>
    <row r="4" spans="1:10" s="169" customFormat="1" ht="15.95" customHeight="1" x14ac:dyDescent="0.25">
      <c r="A4" s="167"/>
      <c r="B4" s="167"/>
      <c r="C4" s="167"/>
      <c r="D4" s="1590"/>
      <c r="E4" s="1590"/>
      <c r="F4" s="1590"/>
      <c r="G4" s="168" t="s">
        <v>196</v>
      </c>
    </row>
    <row r="5" spans="1:10" s="187" customFormat="1" ht="36.7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10" s="175" customFormat="1" ht="12.9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10" s="175" customFormat="1" ht="20.25" customHeight="1" x14ac:dyDescent="0.2">
      <c r="A7" s="451"/>
      <c r="B7" s="452"/>
      <c r="C7" s="452" t="s">
        <v>198</v>
      </c>
      <c r="D7" s="453"/>
      <c r="E7" s="453"/>
      <c r="F7" s="453"/>
      <c r="G7" s="453"/>
      <c r="J7" s="454"/>
    </row>
    <row r="8" spans="1:10" s="183" customFormat="1" ht="15" customHeight="1" x14ac:dyDescent="0.2">
      <c r="A8" s="180" t="s">
        <v>5</v>
      </c>
      <c r="B8" s="455"/>
      <c r="C8" s="22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/>
      <c r="J8" s="454"/>
    </row>
    <row r="9" spans="1:10" s="183" customFormat="1" ht="15" customHeight="1" x14ac:dyDescent="0.2">
      <c r="A9" s="192"/>
      <c r="B9" s="185" t="s">
        <v>103</v>
      </c>
      <c r="C9" s="19" t="s">
        <v>23</v>
      </c>
      <c r="D9" s="255">
        <f>SUM('4.1 sz. mell'!D9+'4.2. sz. mell'!D9+'4.3 sz. mell'!D9+'4.4.sz. mell.'!D9+'4.5.sz. mell. '!D9+'4.6 sz. mell.'!D9+'4.7.sz. mell.'!D9)</f>
        <v>0</v>
      </c>
      <c r="E9" s="255">
        <f>SUM('4.1 sz. mell'!E9+'4.2. sz. mell'!E9+'4.3 sz. mell'!E9+'4.4.sz. mell.'!E9+'4.5.sz. mell. '!E9+'4.6 sz. mell.'!E9+'4.7.sz. mell.'!E9)</f>
        <v>0</v>
      </c>
      <c r="F9" s="255">
        <f>SUM('4.1 sz. mell'!F9+'4.2. sz. mell'!F9+'4.3 sz. mell'!F9+'4.4.sz. mell.'!F9+'4.5.sz. mell. '!F9+'4.6 sz. mell.'!F9+'4.7.sz. mell.'!F9)</f>
        <v>0</v>
      </c>
      <c r="G9" s="255"/>
      <c r="J9" s="454"/>
    </row>
    <row r="10" spans="1:10" s="183" customFormat="1" ht="15" customHeight="1" x14ac:dyDescent="0.2">
      <c r="A10" s="184"/>
      <c r="B10" s="185" t="s">
        <v>105</v>
      </c>
      <c r="C10" s="15" t="s">
        <v>25</v>
      </c>
      <c r="D10" s="255">
        <f>SUM('4.1 sz. mell'!D10+'4.2. sz. mell'!D10+'4.3 sz. mell'!D10+'4.4.sz. mell.'!D10+'4.5.sz. mell. '!D10+'4.6 sz. mell.'!D10+'4.7.sz. mell.'!D10)</f>
        <v>0</v>
      </c>
      <c r="E10" s="255">
        <f>SUM('4.1 sz. mell'!E10+'4.2. sz. mell'!E10+'4.3 sz. mell'!E10+'4.4.sz. mell.'!E10+'4.5.sz. mell. '!E10+'4.6 sz. mell.'!E10+'4.7.sz. mell.'!E10)</f>
        <v>0</v>
      </c>
      <c r="F10" s="255">
        <f>SUM('4.1 sz. mell'!F10+'4.2. sz. mell'!F10+'4.3 sz. mell'!F10+'4.4.sz. mell.'!F10+'4.5.sz. mell. '!F10+'4.6 sz. mell.'!F10+'4.7.sz. mell.'!F10)</f>
        <v>0</v>
      </c>
      <c r="G10" s="255"/>
      <c r="J10" s="454"/>
    </row>
    <row r="11" spans="1:10" s="183" customFormat="1" ht="15" customHeight="1" x14ac:dyDescent="0.2">
      <c r="A11" s="184"/>
      <c r="B11" s="185" t="s">
        <v>107</v>
      </c>
      <c r="C11" s="15" t="s">
        <v>27</v>
      </c>
      <c r="D11" s="255">
        <f>SUM('4.1 sz. mell'!D11+'4.2. sz. mell'!D11+'4.3 sz. mell'!D11+'4.4.sz. mell.'!D11+'4.5.sz. mell. '!D11+'4.6 sz. mell.'!D11+'4.7.sz. mell.'!D11)</f>
        <v>0</v>
      </c>
      <c r="E11" s="255">
        <f>SUM('4.1 sz. mell'!E11+'4.2. sz. mell'!E11+'4.3 sz. mell'!E11+'4.4.sz. mell.'!E11+'4.5.sz. mell. '!E11+'4.6 sz. mell.'!E11+'4.7.sz. mell.'!E11)</f>
        <v>0</v>
      </c>
      <c r="F11" s="255">
        <f>SUM('4.1 sz. mell'!F11+'4.2. sz. mell'!F11+'4.3 sz. mell'!F11+'4.4.sz. mell.'!F11+'4.5.sz. mell. '!F11+'4.6 sz. mell.'!F11+'4.7.sz. mell.'!F11)</f>
        <v>0</v>
      </c>
      <c r="G11" s="255"/>
      <c r="J11" s="454"/>
    </row>
    <row r="12" spans="1:10" s="183" customFormat="1" ht="15" customHeight="1" x14ac:dyDescent="0.2">
      <c r="A12" s="184"/>
      <c r="B12" s="185" t="s">
        <v>109</v>
      </c>
      <c r="C12" s="15" t="s">
        <v>29</v>
      </c>
      <c r="D12" s="255">
        <f>SUM('4.1 sz. mell'!D12+'4.2. sz. mell'!D12+'4.3 sz. mell'!D12+'4.4.sz. mell.'!D12+'4.5.sz. mell. '!D12+'4.6 sz. mell.'!D12+'4.7.sz. mell.'!D12)</f>
        <v>0</v>
      </c>
      <c r="E12" s="255">
        <f>SUM('4.1 sz. mell'!E12+'4.2. sz. mell'!E12+'4.3 sz. mell'!E12+'4.4.sz. mell.'!E12+'4.5.sz. mell. '!E12+'4.6 sz. mell.'!E12+'4.7.sz. mell.'!E12)</f>
        <v>0</v>
      </c>
      <c r="F12" s="255">
        <f>SUM('4.1 sz. mell'!F12+'4.2. sz. mell'!F12+'4.3 sz. mell'!F12+'4.4.sz. mell.'!F12+'4.5.sz. mell. '!F12+'4.6 sz. mell.'!F12+'4.7.sz. mell.'!F12)</f>
        <v>0</v>
      </c>
      <c r="G12" s="255"/>
      <c r="J12" s="454"/>
    </row>
    <row r="13" spans="1:10" s="183" customFormat="1" ht="15" customHeight="1" x14ac:dyDescent="0.2">
      <c r="A13" s="184"/>
      <c r="B13" s="185" t="s">
        <v>451</v>
      </c>
      <c r="C13" s="22" t="s">
        <v>31</v>
      </c>
      <c r="D13" s="255">
        <f>SUM('4.1 sz. mell'!D13+'4.2. sz. mell'!D13+'4.3 sz. mell'!D13+'4.4.sz. mell.'!D13+'4.5.sz. mell. '!D13+'4.6 sz. mell.'!D13+'4.7.sz. mell.'!D13)</f>
        <v>0</v>
      </c>
      <c r="E13" s="255">
        <f>SUM('4.1 sz. mell'!E13+'4.2. sz. mell'!E13+'4.3 sz. mell'!E13+'4.4.sz. mell.'!E13+'4.5.sz. mell. '!E13+'4.6 sz. mell.'!E13+'4.7.sz. mell.'!E13)</f>
        <v>0</v>
      </c>
      <c r="F13" s="255">
        <f>SUM('4.1 sz. mell'!F13+'4.2. sz. mell'!F13+'4.3 sz. mell'!F13+'4.4.sz. mell.'!F13+'4.5.sz. mell. '!F13+'4.6 sz. mell.'!F13+'4.7.sz. mell.'!F13)</f>
        <v>0</v>
      </c>
      <c r="G13" s="255"/>
    </row>
    <row r="14" spans="1:10" s="183" customFormat="1" ht="15" customHeight="1" x14ac:dyDescent="0.2">
      <c r="A14" s="188"/>
      <c r="B14" s="185" t="s">
        <v>454</v>
      </c>
      <c r="C14" s="15" t="s">
        <v>33</v>
      </c>
      <c r="D14" s="255">
        <f>SUM('4.1 sz. mell'!D14+'4.2. sz. mell'!D14+'4.3 sz. mell'!D14+'4.4.sz. mell.'!D14+'4.5.sz. mell. '!D14+'4.6 sz. mell.'!D14+'4.7.sz. mell.'!D14)</f>
        <v>0</v>
      </c>
      <c r="E14" s="255">
        <f>SUM('4.1 sz. mell'!E14+'4.2. sz. mell'!E14+'4.3 sz. mell'!E14+'4.4.sz. mell.'!E14+'4.5.sz. mell. '!E14+'4.6 sz. mell.'!E14+'4.7.sz. mell.'!E14)</f>
        <v>0</v>
      </c>
      <c r="F14" s="255">
        <f>SUM('4.1 sz. mell'!F14+'4.2. sz. mell'!F14+'4.3 sz. mell'!F14+'4.4.sz. mell.'!F14+'4.5.sz. mell. '!F14+'4.6 sz. mell.'!F14+'4.7.sz. mell.'!F14)</f>
        <v>0</v>
      </c>
      <c r="G14" s="255"/>
      <c r="J14" s="454"/>
    </row>
    <row r="15" spans="1:10" s="187" customFormat="1" ht="15" customHeight="1" x14ac:dyDescent="0.2">
      <c r="A15" s="184"/>
      <c r="B15" s="185" t="s">
        <v>457</v>
      </c>
      <c r="C15" s="15" t="s">
        <v>35</v>
      </c>
      <c r="D15" s="255">
        <f>SUM('4.1 sz. mell'!D15+'4.2. sz. mell'!D15+'4.3 sz. mell'!D15+'4.4.sz. mell.'!D15+'4.5.sz. mell. '!D15+'4.6 sz. mell.'!D15+'4.7.sz. mell.'!D15)</f>
        <v>0</v>
      </c>
      <c r="E15" s="255">
        <f>SUM('4.1 sz. mell'!E15+'4.2. sz. mell'!E15+'4.3 sz. mell'!E15+'4.4.sz. mell.'!E15+'4.5.sz. mell. '!E15+'4.6 sz. mell.'!E15+'4.7.sz. mell.'!E15)</f>
        <v>0</v>
      </c>
      <c r="F15" s="255">
        <f>SUM('4.1 sz. mell'!F15+'4.2. sz. mell'!F15+'4.3 sz. mell'!F15+'4.4.sz. mell.'!F15+'4.5.sz. mell. '!F15+'4.6 sz. mell.'!F15+'4.7.sz. mell.'!F15)</f>
        <v>0</v>
      </c>
      <c r="G15" s="255"/>
      <c r="J15" s="454"/>
    </row>
    <row r="16" spans="1:10" s="187" customFormat="1" ht="15" customHeight="1" x14ac:dyDescent="0.2">
      <c r="A16" s="194"/>
      <c r="B16" s="195" t="s">
        <v>459</v>
      </c>
      <c r="C16" s="22" t="s">
        <v>37</v>
      </c>
      <c r="D16" s="255">
        <f>SUM('4.1 sz. mell'!D16+'4.2. sz. mell'!D16+'4.3 sz. mell'!D16+'4.4.sz. mell.'!D16+'4.5.sz. mell. '!D16+'4.6 sz. mell.'!D16+'4.7.sz. mell.'!D16)</f>
        <v>0</v>
      </c>
      <c r="E16" s="255">
        <f>SUM('4.1 sz. mell'!E16+'4.2. sz. mell'!E16+'4.3 sz. mell'!E16+'4.4.sz. mell.'!E16+'4.5.sz. mell. '!E16+'4.6 sz. mell.'!E16+'4.7.sz. mell.'!E16)</f>
        <v>0</v>
      </c>
      <c r="F16" s="255">
        <f>SUM('4.1 sz. mell'!F16+'4.2. sz. mell'!F16+'4.3 sz. mell'!F16+'4.4.sz. mell.'!F16+'4.5.sz. mell. '!F16+'4.6 sz. mell.'!F16+'4.7.sz. mell.'!F16)</f>
        <v>0</v>
      </c>
      <c r="G16" s="255"/>
      <c r="J16" s="454"/>
    </row>
    <row r="17" spans="1:10" s="183" customFormat="1" ht="15" customHeight="1" thickBot="1" x14ac:dyDescent="0.25">
      <c r="A17" s="180" t="s">
        <v>6</v>
      </c>
      <c r="B17" s="253"/>
      <c r="C17" s="222" t="s">
        <v>1963</v>
      </c>
      <c r="D17" s="254">
        <f>SUM(D18:D21)</f>
        <v>54666</v>
      </c>
      <c r="E17" s="254">
        <f>SUM(E18:E21)</f>
        <v>0</v>
      </c>
      <c r="F17" s="254">
        <f>SUM(F18:F21)</f>
        <v>0</v>
      </c>
      <c r="G17" s="254" t="e">
        <f t="shared" ref="G17:G48" si="0">F17/E17*100</f>
        <v>#DIV/0!</v>
      </c>
    </row>
    <row r="18" spans="1:10" s="187" customFormat="1" ht="15" customHeight="1" thickBot="1" x14ac:dyDescent="0.25">
      <c r="A18" s="184"/>
      <c r="B18" s="185" t="s">
        <v>7</v>
      </c>
      <c r="C18" s="27" t="s">
        <v>1964</v>
      </c>
      <c r="D18" s="255">
        <f>SUM('4.1 sz. mell'!D18+'4.2. sz. mell'!D18+'4.3 sz. mell'!D18+'4.4.sz. mell.'!D18+'4.5.sz. mell. '!D18+'4.6 sz. mell.'!D18+'4.7.sz. mell.'!D18+'4.8.sz. mell.'!D18)</f>
        <v>54666</v>
      </c>
      <c r="E18" s="255">
        <f>'4.1 sz. mell'!E18+'4.2. sz. mell'!E18+'4.3 sz. mell'!E18+'4.4.sz. mell.'!E18+'4.5.sz. mell. '!E18+'4.6 sz. mell.'!E18+'4.7.sz. mell.'!E18+'4.8.sz. mell.'!E18</f>
        <v>0</v>
      </c>
      <c r="F18" s="255">
        <f>'4.1 sz. mell'!F18+'4.2. sz. mell'!F18+'4.3 sz. mell'!F18+'4.4.sz. mell.'!F18+'4.5.sz. mell. '!F18+'4.6 sz. mell.'!F18+'4.7.sz. mell.'!F18+'4.8.sz. mell.'!F18</f>
        <v>0</v>
      </c>
      <c r="G18" s="254" t="e">
        <f t="shared" si="0"/>
        <v>#DIV/0!</v>
      </c>
      <c r="H18" s="183"/>
      <c r="I18" s="183"/>
      <c r="J18" s="183"/>
    </row>
    <row r="19" spans="1:10" s="187" customFormat="1" ht="15" customHeight="1" x14ac:dyDescent="0.2">
      <c r="A19" s="184"/>
      <c r="B19" s="185" t="s">
        <v>9</v>
      </c>
      <c r="C19" s="15" t="s">
        <v>1965</v>
      </c>
      <c r="D19" s="255">
        <f>SUM('4.1 sz. mell'!D19+'4.2. sz. mell'!D19+'4.3 sz. mell'!D19+'4.4.sz. mell.'!D19+'4.5.sz. mell. '!D19+'4.6 sz. mell.'!D19+'4.7.sz. mell.'!D19)</f>
        <v>0</v>
      </c>
      <c r="E19" s="255">
        <f>SUM('4.1 sz. mell'!E19+'4.2. sz. mell'!E19+'4.3 sz. mell'!E19+'4.4.sz. mell.'!E19+'4.5.sz. mell. '!E19+'4.6 sz. mell.'!E19+'4.7.sz. mell.'!E19)</f>
        <v>0</v>
      </c>
      <c r="F19" s="255">
        <f>SUM('4.1 sz. mell'!F19+'4.2. sz. mell'!F19+'4.3 sz. mell'!F19+'4.4.sz. mell.'!F19+'4.5.sz. mell. '!F19+'4.6 sz. mell.'!F19+'4.7.sz. mell.'!F19)</f>
        <v>0</v>
      </c>
      <c r="G19" s="255"/>
      <c r="H19" s="183"/>
      <c r="I19" s="183"/>
      <c r="J19" s="183"/>
    </row>
    <row r="20" spans="1:10" s="187" customFormat="1" ht="15" customHeight="1" x14ac:dyDescent="0.2">
      <c r="A20" s="184"/>
      <c r="B20" s="185" t="s">
        <v>11</v>
      </c>
      <c r="C20" s="15" t="s">
        <v>802</v>
      </c>
      <c r="D20" s="255">
        <f>SUM('4.1 sz. mell'!D20+'4.2. sz. mell'!D20+'4.3 sz. mell'!D20+'4.4.sz. mell.'!D20+'4.5.sz. mell. '!D20+'4.6 sz. mell.'!D20+'4.7.sz. mell.'!D20)</f>
        <v>0</v>
      </c>
      <c r="E20" s="255">
        <f>SUM('4.1 sz. mell'!E20+'4.2. sz. mell'!E20+'4.3 sz. mell'!E20+'4.4.sz. mell.'!E20+'4.5.sz. mell. '!E20+'4.6 sz. mell.'!E20+'4.7.sz. mell.'!E20)</f>
        <v>0</v>
      </c>
      <c r="F20" s="255">
        <f>SUM('4.1 sz. mell'!F20+'4.2. sz. mell'!F20+'4.3 sz. mell'!F20+'4.4.sz. mell.'!F20+'4.5.sz. mell. '!F20+'4.6 sz. mell.'!F20+'4.7.sz. mell.'!F20)</f>
        <v>0</v>
      </c>
      <c r="G20" s="255"/>
      <c r="H20" s="183"/>
      <c r="I20" s="183"/>
      <c r="J20" s="183"/>
    </row>
    <row r="21" spans="1:10" s="187" customFormat="1" ht="15" customHeight="1" thickBot="1" x14ac:dyDescent="0.25">
      <c r="A21" s="184"/>
      <c r="B21" s="185" t="s">
        <v>13</v>
      </c>
      <c r="C21" s="84" t="s">
        <v>803</v>
      </c>
      <c r="D21" s="258">
        <f>SUM('4.1 sz. mell'!D21+'4.2. sz. mell'!D21+'4.3 sz. mell'!D21+'4.4.sz. mell.'!D21+'4.5.sz. mell. '!D21+'4.6 sz. mell.'!D21+'4.7.sz. mell.'!D21)</f>
        <v>0</v>
      </c>
      <c r="E21" s="258">
        <f>SUM('4.1 sz. mell'!E21+'4.2. sz. mell'!E21+'4.3 sz. mell'!E21+'4.4.sz. mell.'!E21+'4.5.sz. mell. '!E21+'4.6 sz. mell.'!E21+'4.7.sz. mell.'!E21)</f>
        <v>0</v>
      </c>
      <c r="F21" s="258">
        <f>SUM('4.1 sz. mell'!F21+'4.2. sz. mell'!F21+'4.3 sz. mell'!F21+'4.4.sz. mell.'!F21+'4.5.sz. mell. '!F21+'4.6 sz. mell.'!F21+'4.7.sz. mell.'!F21)</f>
        <v>0</v>
      </c>
      <c r="G21" s="258"/>
      <c r="H21" s="183"/>
      <c r="I21" s="183"/>
      <c r="J21" s="183"/>
    </row>
    <row r="22" spans="1:10" s="187" customFormat="1" ht="15" customHeight="1" thickBot="1" x14ac:dyDescent="0.25">
      <c r="A22" s="180" t="s">
        <v>20</v>
      </c>
      <c r="B22" s="456"/>
      <c r="C22" s="222" t="s">
        <v>804</v>
      </c>
      <c r="D22" s="457">
        <f>SUM('4.1 sz. mell'!D22+'4.2. sz. mell'!D22+'4.3 sz. mell'!D22+'4.4.sz. mell.'!D22+'4.5.sz. mell. '!D22+'4.6 sz. mell.'!D22+'4.7.sz. mell.'!D22)</f>
        <v>0</v>
      </c>
      <c r="E22" s="457">
        <f>SUM('4.1 sz. mell'!E22+'4.2. sz. mell'!E22+'4.3 sz. mell'!E22+'4.4.sz. mell.'!E22+'4.5.sz. mell. '!E22+'4.6 sz. mell.'!E22+'4.7.sz. mell.'!E22)</f>
        <v>0</v>
      </c>
      <c r="F22" s="457">
        <f>SUM('4.1 sz. mell'!F22+'4.2. sz. mell'!F22+'4.3 sz. mell'!F22+'4.4.sz. mell.'!F22+'4.5.sz. mell. '!F22+'4.6 sz. mell.'!F22+'4.7.sz. mell.'!F22)</f>
        <v>0</v>
      </c>
      <c r="G22" s="457"/>
      <c r="H22" s="183"/>
      <c r="I22" s="183"/>
      <c r="J22" s="183"/>
    </row>
    <row r="23" spans="1:10" s="187" customFormat="1" ht="15" customHeight="1" thickBot="1" x14ac:dyDescent="0.25">
      <c r="A23" s="180" t="s">
        <v>150</v>
      </c>
      <c r="B23" s="456"/>
      <c r="C23" s="222" t="s">
        <v>805</v>
      </c>
      <c r="D23" s="220">
        <f>SUM('4.1 sz. mell'!D23+'4.2. sz. mell'!D23+'4.3 sz. mell'!D23+'4.4.sz. mell.'!D23+'4.5.sz. mell. '!D23+'4.6 sz. mell.'!D23+'4.7.sz. mell.'!D23)</f>
        <v>0</v>
      </c>
      <c r="E23" s="220">
        <f>SUM('4.1 sz. mell'!E23+'4.2. sz. mell'!E23+'4.3 sz. mell'!E23+'4.4.sz. mell.'!E23+'4.5.sz. mell. '!E23+'4.6 sz. mell.'!E23+'4.7.sz. mell.'!E23+'4.8.sz. mell.'!E23)</f>
        <v>0</v>
      </c>
      <c r="F23" s="220">
        <f>SUM('4.1 sz. mell'!F23+'4.2. sz. mell'!F23+'4.3 sz. mell'!F23+'4.4.sz. mell.'!F23+'4.5.sz. mell. '!F23+'4.6 sz. mell.'!F23+'4.7.sz. mell.'!F23+'4.8.sz. mell.'!F23)</f>
        <v>0</v>
      </c>
      <c r="G23" s="220" t="e">
        <f t="shared" si="0"/>
        <v>#DIV/0!</v>
      </c>
      <c r="H23" s="183"/>
      <c r="I23" s="183"/>
      <c r="J23" s="183"/>
    </row>
    <row r="24" spans="1:10" s="183" customFormat="1" ht="15" customHeight="1" thickBot="1" x14ac:dyDescent="0.25">
      <c r="A24" s="180" t="s">
        <v>39</v>
      </c>
      <c r="B24" s="253"/>
      <c r="C24" s="222" t="s">
        <v>806</v>
      </c>
      <c r="D24" s="220">
        <f>SUM('4.1 sz. mell'!D24+'4.2. sz. mell'!D24+'4.3 sz. mell'!D24+'4.4.sz. mell.'!D24+'4.5.sz. mell. '!D24+'4.6 sz. mell.'!D24+'4.7.sz. mell.'!D24)</f>
        <v>0</v>
      </c>
      <c r="E24" s="220">
        <f>SUM('4.1 sz. mell'!E24+'4.2. sz. mell'!E24+'4.3 sz. mell'!E24+'4.4.sz. mell.'!E24+'4.5.sz. mell. '!E24+'4.6 sz. mell.'!E24+'4.7.sz. mell.'!E24)</f>
        <v>0</v>
      </c>
      <c r="F24" s="220">
        <f>SUM('4.1 sz. mell'!F24+'4.2. sz. mell'!F24+'4.3 sz. mell'!F24+'4.4.sz. mell.'!F24+'4.5.sz. mell. '!F24+'4.6 sz. mell.'!F24+'4.7.sz. mell.'!F24)</f>
        <v>0</v>
      </c>
      <c r="G24" s="220"/>
    </row>
    <row r="25" spans="1:10" s="183" customFormat="1" ht="15" customHeight="1" thickBot="1" x14ac:dyDescent="0.25">
      <c r="A25" s="180" t="s">
        <v>49</v>
      </c>
      <c r="B25" s="458"/>
      <c r="C25" s="222" t="s">
        <v>807</v>
      </c>
      <c r="D25" s="459">
        <f>+D26+D27</f>
        <v>0</v>
      </c>
      <c r="E25" s="459">
        <f>+E26+E27</f>
        <v>0</v>
      </c>
      <c r="F25" s="459">
        <f>+F26+F27</f>
        <v>0</v>
      </c>
      <c r="G25" s="459"/>
    </row>
    <row r="26" spans="1:10" s="183" customFormat="1" ht="15" customHeight="1" x14ac:dyDescent="0.2">
      <c r="A26" s="192"/>
      <c r="B26" s="185" t="s">
        <v>50</v>
      </c>
      <c r="C26" s="27" t="s">
        <v>808</v>
      </c>
      <c r="D26" s="255">
        <f>SUM('4.1 sz. mell'!D26+'4.2. sz. mell'!D26+'4.3 sz. mell'!D26+'4.4.sz. mell.'!D26+'4.5.sz. mell. '!D26+'4.6 sz. mell.'!D26+'4.7.sz. mell.'!D26)</f>
        <v>0</v>
      </c>
      <c r="E26" s="255">
        <f>SUM('4.1 sz. mell'!E26+'4.2. sz. mell'!E26+'4.3 sz. mell'!E26+'4.4.sz. mell.'!E26+'4.5.sz. mell. '!E26+'4.6 sz. mell.'!E26+'4.7.sz. mell.'!E26)</f>
        <v>0</v>
      </c>
      <c r="F26" s="255">
        <f>SUM('4.1 sz. mell'!F26+'4.2. sz. mell'!F26+'4.3 sz. mell'!F26+'4.4.sz. mell.'!F26+'4.5.sz. mell. '!F26+'4.6 sz. mell.'!F26+'4.7.sz. mell.'!F26)</f>
        <v>0</v>
      </c>
      <c r="G26" s="255"/>
    </row>
    <row r="27" spans="1:10" s="183" customFormat="1" ht="15" customHeight="1" thickBot="1" x14ac:dyDescent="0.25">
      <c r="A27" s="202"/>
      <c r="B27" s="185" t="s">
        <v>63</v>
      </c>
      <c r="C27" s="84" t="s">
        <v>809</v>
      </c>
      <c r="D27" s="258">
        <f>SUM('4.1 sz. mell'!D27+'4.2. sz. mell'!D27+'4.3 sz. mell'!D27+'4.4.sz. mell.'!D27+'4.5.sz. mell. '!D27+'4.6 sz. mell.'!D27+'4.7.sz. mell.'!D27)</f>
        <v>0</v>
      </c>
      <c r="E27" s="258">
        <f>SUM('4.1 sz. mell'!E27+'4.2. sz. mell'!E27+'4.3 sz. mell'!E27+'4.4.sz. mell.'!E27+'4.5.sz. mell. '!E27+'4.6 sz. mell.'!E27+'4.7.sz. mell.'!E27)</f>
        <v>0</v>
      </c>
      <c r="F27" s="258">
        <f>SUM('4.1 sz. mell'!F27+'4.2. sz. mell'!F27+'4.3 sz. mell'!F27+'4.4.sz. mell.'!F27+'4.5.sz. mell. '!F27+'4.6 sz. mell.'!F27+'4.7.sz. mell.'!F27)</f>
        <v>0</v>
      </c>
      <c r="G27" s="258"/>
    </row>
    <row r="28" spans="1:10" s="187" customFormat="1" ht="15" customHeight="1" thickBot="1" x14ac:dyDescent="0.25">
      <c r="A28" s="180" t="s">
        <v>179</v>
      </c>
      <c r="B28" s="221"/>
      <c r="C28" s="222" t="s">
        <v>282</v>
      </c>
      <c r="D28" s="258">
        <v>548607</v>
      </c>
      <c r="E28" s="220">
        <f>'4.1 sz. mell'!E28+'4.2. sz. mell'!E28+'4.3 sz. mell'!E28+'4.4.sz. mell.'!E28+'4.5.sz. mell. '!E28+'4.6 sz. mell.'!E28+'4.7.sz. mell.'!E28+'4.8.sz. mell.'!E28</f>
        <v>0</v>
      </c>
      <c r="F28" s="220">
        <f>'4.1 sz. mell'!F28+'4.2. sz. mell'!F28+'4.3 sz. mell'!F28+'4.4.sz. mell.'!F28+'4.5.sz. mell. '!F28+'4.6 sz. mell.'!F28+'4.7.sz. mell.'!F28+'4.8.sz. mell.'!F28</f>
        <v>0</v>
      </c>
      <c r="G28" s="270" t="e">
        <f t="shared" si="0"/>
        <v>#DIV/0!</v>
      </c>
      <c r="H28" s="183"/>
      <c r="I28" s="823">
        <f>SUM(D48-D30)</f>
        <v>0</v>
      </c>
      <c r="J28" s="183"/>
    </row>
    <row r="29" spans="1:10" s="187" customFormat="1" ht="15" customHeight="1" thickBot="1" x14ac:dyDescent="0.3">
      <c r="A29" s="212"/>
      <c r="B29" s="213"/>
      <c r="C29" s="12" t="s">
        <v>810</v>
      </c>
      <c r="D29" s="220"/>
      <c r="E29" s="220">
        <f>'4.1 sz. mell'!E29+'4.2. sz. mell'!E29+'4.3 sz. mell'!E29+'4.4.sz. mell.'!E29+'4.5.sz. mell. '!E29+'4.6 sz. mell.'!E29+'4.7.sz. mell.'!E29+'4.8.sz. mell.'!E29</f>
        <v>0</v>
      </c>
      <c r="F29" s="220">
        <f>'4.1 sz. mell'!F29+'4.2. sz. mell'!F29+'4.3 sz. mell'!F29+'4.4.sz. mell.'!F29+'4.5.sz. mell. '!F29+'4.6 sz. mell.'!F29+'4.7.sz. mell.'!F29+'4.8.sz. mell.'!F29</f>
        <v>0</v>
      </c>
      <c r="G29" s="270"/>
    </row>
    <row r="30" spans="1:10" s="187" customFormat="1" ht="18" customHeight="1" x14ac:dyDescent="0.25">
      <c r="A30" s="268" t="s">
        <v>75</v>
      </c>
      <c r="B30" s="460"/>
      <c r="C30" s="461" t="s">
        <v>811</v>
      </c>
      <c r="D30" s="270">
        <f>SUM(D8,D17,D22,D23,D24,D25,D28)</f>
        <v>603273</v>
      </c>
      <c r="E30" s="270">
        <f>SUM(E8,E17,E22,E23,E24,E25,E28,E29)</f>
        <v>0</v>
      </c>
      <c r="F30" s="270">
        <f>SUM(F8,F17,F22,F23,F24,F25,F28,F29)</f>
        <v>0</v>
      </c>
      <c r="G30" s="270" t="e">
        <f t="shared" si="0"/>
        <v>#DIV/0!</v>
      </c>
    </row>
    <row r="31" spans="1:10" s="187" customFormat="1" ht="15" customHeight="1" x14ac:dyDescent="0.2">
      <c r="A31" s="462"/>
      <c r="B31" s="271"/>
      <c r="C31" s="272"/>
      <c r="D31" s="273"/>
      <c r="E31" s="273"/>
      <c r="F31" s="273"/>
      <c r="G31" s="273"/>
    </row>
    <row r="32" spans="1:10" s="175" customFormat="1" ht="21" customHeight="1" x14ac:dyDescent="0.2">
      <c r="A32" s="451"/>
      <c r="B32" s="452"/>
      <c r="C32" s="452" t="s">
        <v>199</v>
      </c>
      <c r="D32" s="453"/>
      <c r="E32" s="453"/>
      <c r="F32" s="453"/>
      <c r="G32" s="453"/>
    </row>
    <row r="33" spans="1:7" s="232" customFormat="1" ht="15" customHeight="1" x14ac:dyDescent="0.2">
      <c r="A33" s="180" t="s">
        <v>5</v>
      </c>
      <c r="B33" s="456"/>
      <c r="C33" s="350" t="s">
        <v>301</v>
      </c>
      <c r="D33" s="112">
        <f>SUM(D34:D38)</f>
        <v>578773</v>
      </c>
      <c r="E33" s="112">
        <f>SUM(E34:E38)</f>
        <v>0</v>
      </c>
      <c r="F33" s="112">
        <f>SUM(F34:F38)</f>
        <v>0</v>
      </c>
      <c r="G33" s="112" t="e">
        <f t="shared" si="0"/>
        <v>#DIV/0!</v>
      </c>
    </row>
    <row r="34" spans="1:7" ht="15" customHeight="1" x14ac:dyDescent="0.2">
      <c r="A34" s="204"/>
      <c r="B34" s="185" t="s">
        <v>103</v>
      </c>
      <c r="C34" s="15" t="s">
        <v>104</v>
      </c>
      <c r="D34" s="255">
        <f>SUM('4.1 sz. mell'!D34+'4.2. sz. mell'!D34+'4.3 sz. mell'!D34+'4.4.sz. mell.'!D34+'4.5.sz. mell. '!D34+'4.6 sz. mell.'!D35+'4.7.sz. mell.'!D34+'4.8.sz. mell.'!D35)</f>
        <v>347693</v>
      </c>
      <c r="E34" s="255">
        <f>SUM('4.1 sz. mell'!E34+'4.2. sz. mell'!E34+'4.3 sz. mell'!E34+'4.4.sz. mell.'!E34+'4.5.sz. mell. '!E34+'4.6 sz. mell.'!E35+'4.7.sz. mell.'!E34+'4.8.sz. mell.'!E35)</f>
        <v>0</v>
      </c>
      <c r="F34" s="255">
        <f>SUM('4.1 sz. mell'!F34+'4.2. sz. mell'!F34+'4.3 sz. mell'!F34+'4.4.sz. mell.'!F34+'4.5.sz. mell. '!F34+'4.6 sz. mell.'!F35+'4.7.sz. mell.'!F34+'4.8.sz. mell.'!F35)</f>
        <v>0</v>
      </c>
      <c r="G34" s="255" t="e">
        <f t="shared" si="0"/>
        <v>#DIV/0!</v>
      </c>
    </row>
    <row r="35" spans="1:7" ht="15" customHeight="1" x14ac:dyDescent="0.2">
      <c r="A35" s="184"/>
      <c r="B35" s="185" t="s">
        <v>105</v>
      </c>
      <c r="C35" s="15" t="s">
        <v>106</v>
      </c>
      <c r="D35" s="255">
        <f>SUM('4.1 sz. mell'!D35+'4.2. sz. mell'!D35+'4.3 sz. mell'!D35+'4.4.sz. mell.'!D35+'4.5.sz. mell. '!D35+'4.6 sz. mell.'!D36+'4.7.sz. mell.'!D35+'4.8.sz. mell.'!D36)</f>
        <v>91754</v>
      </c>
      <c r="E35" s="255">
        <f>SUM('4.1 sz. mell'!E35+'4.2. sz. mell'!E35+'4.3 sz. mell'!E35+'4.4.sz. mell.'!E35+'4.5.sz. mell. '!E35+'4.6 sz. mell.'!E36+'4.7.sz. mell.'!E35+'4.8.sz. mell.'!E36)</f>
        <v>0</v>
      </c>
      <c r="F35" s="255">
        <f>SUM('4.1 sz. mell'!F35+'4.2. sz. mell'!F35+'4.3 sz. mell'!F35+'4.4.sz. mell.'!F35+'4.5.sz. mell. '!F35+'4.6 sz. mell.'!F36+'4.7.sz. mell.'!F35+'4.8.sz. mell.'!F36)</f>
        <v>0</v>
      </c>
      <c r="G35" s="255" t="e">
        <f t="shared" si="0"/>
        <v>#DIV/0!</v>
      </c>
    </row>
    <row r="36" spans="1:7" ht="15" customHeight="1" x14ac:dyDescent="0.2">
      <c r="A36" s="184"/>
      <c r="B36" s="185" t="s">
        <v>107</v>
      </c>
      <c r="C36" s="15" t="s">
        <v>108</v>
      </c>
      <c r="D36" s="255">
        <f>SUM('4.1 sz. mell'!D36+'4.2. sz. mell'!D36+'4.3 sz. mell'!D36+'4.4.sz. mell.'!D36+'4.5.sz. mell. '!D36+'4.6 sz. mell.'!D37+'4.7.sz. mell.'!D36+'4.8.sz. mell.'!D37)</f>
        <v>116326</v>
      </c>
      <c r="E36" s="255">
        <f>SUM('4.1 sz. mell'!E36+'4.2. sz. mell'!E36+'4.3 sz. mell'!E36+'4.4.sz. mell.'!E36+'4.5.sz. mell. '!E36+'4.6 sz. mell.'!E37+'4.7.sz. mell.'!E36+'4.8.sz. mell.'!E37)</f>
        <v>0</v>
      </c>
      <c r="F36" s="255">
        <f>SUM('4.1 sz. mell'!F36+'4.2. sz. mell'!F36+'4.3 sz. mell'!F36+'4.4.sz. mell.'!F36+'4.5.sz. mell. '!F36+'4.6 sz. mell.'!F37+'4.7.sz. mell.'!F36+'4.8.sz. mell.'!F37)</f>
        <v>0</v>
      </c>
      <c r="G36" s="255" t="e">
        <f t="shared" si="0"/>
        <v>#DIV/0!</v>
      </c>
    </row>
    <row r="37" spans="1:7" ht="15" customHeight="1" x14ac:dyDescent="0.2">
      <c r="A37" s="184"/>
      <c r="B37" s="185" t="s">
        <v>109</v>
      </c>
      <c r="C37" s="15" t="s">
        <v>283</v>
      </c>
      <c r="D37" s="255">
        <f>SUM('4.1 sz. mell'!D37+'4.2. sz. mell'!D37+'4.3 sz. mell'!D37+'4.4.sz. mell.'!D37+'4.5.sz. mell. '!D37+'4.6 sz. mell.'!D38+'4.7.sz. mell.'!D37+'4.8.sz. mell.'!D38)</f>
        <v>23000</v>
      </c>
      <c r="E37" s="255">
        <f>SUM('4.1 sz. mell'!E37+'4.2. sz. mell'!E37+'4.3 sz. mell'!E37+'4.4.sz. mell.'!E37+'4.5.sz. mell. '!E37+'4.6 sz. mell.'!E38+'4.7.sz. mell.'!E37+'4.8.sz. mell.'!E38)</f>
        <v>0</v>
      </c>
      <c r="F37" s="255">
        <f>SUM('4.1 sz. mell'!F37+'4.2. sz. mell'!F37+'4.3 sz. mell'!F37+'4.4.sz. mell.'!F37+'4.5.sz. mell. '!F37+'4.6 sz. mell.'!F38+'4.7.sz. mell.'!F37+'4.8.sz. mell.'!F38)</f>
        <v>0</v>
      </c>
      <c r="G37" s="255" t="e">
        <f t="shared" si="0"/>
        <v>#DIV/0!</v>
      </c>
    </row>
    <row r="38" spans="1:7" ht="15" customHeight="1" x14ac:dyDescent="0.2">
      <c r="A38" s="184"/>
      <c r="B38" s="185" t="s">
        <v>111</v>
      </c>
      <c r="C38" s="15" t="s">
        <v>112</v>
      </c>
      <c r="D38" s="255">
        <f>SUM('4.1 sz. mell'!D38+'4.2. sz. mell'!D38+'4.3 sz. mell'!D38+'4.4.sz. mell.'!D38+'4.5.sz. mell. '!D38+'4.6 sz. mell.'!D39+'4.7.sz. mell.'!D38+'4.8.sz. mell.'!D39)</f>
        <v>0</v>
      </c>
      <c r="E38" s="255">
        <f>SUM(E39:E40)</f>
        <v>0</v>
      </c>
      <c r="F38" s="255">
        <f>SUM(F39:F40)</f>
        <v>0</v>
      </c>
      <c r="G38" s="255" t="e">
        <f t="shared" si="0"/>
        <v>#DIV/0!</v>
      </c>
    </row>
    <row r="39" spans="1:7" ht="15" customHeight="1" x14ac:dyDescent="0.2">
      <c r="A39" s="184"/>
      <c r="B39" s="185" t="s">
        <v>812</v>
      </c>
      <c r="C39" s="15" t="s">
        <v>813</v>
      </c>
      <c r="D39" s="255"/>
      <c r="E39" s="255">
        <f>'4.1 sz. mell'!E38</f>
        <v>0</v>
      </c>
      <c r="F39" s="255">
        <f>'4.1 sz. mell'!F38</f>
        <v>0</v>
      </c>
      <c r="G39" s="255" t="e">
        <f t="shared" si="0"/>
        <v>#DIV/0!</v>
      </c>
    </row>
    <row r="40" spans="1:7" ht="15" customHeight="1" x14ac:dyDescent="0.2">
      <c r="A40" s="184"/>
      <c r="B40" s="185" t="s">
        <v>814</v>
      </c>
      <c r="C40" s="15" t="s">
        <v>110</v>
      </c>
      <c r="D40" s="255"/>
      <c r="E40" s="255">
        <f>'4.2. sz. mell'!E38</f>
        <v>0</v>
      </c>
      <c r="F40" s="255">
        <f>'4.2. sz. mell'!F38</f>
        <v>0</v>
      </c>
      <c r="G40" s="255" t="e">
        <f t="shared" si="0"/>
        <v>#DIV/0!</v>
      </c>
    </row>
    <row r="41" spans="1:7" ht="18.75" customHeight="1" x14ac:dyDescent="0.2">
      <c r="A41" s="180" t="s">
        <v>6</v>
      </c>
      <c r="B41" s="456"/>
      <c r="C41" s="222" t="s">
        <v>815</v>
      </c>
      <c r="D41" s="463">
        <f>SUM(D42:D45)</f>
        <v>24500</v>
      </c>
      <c r="E41" s="463">
        <f>SUM(E42:E45)</f>
        <v>0</v>
      </c>
      <c r="F41" s="463">
        <f>SUM(F42:F45)</f>
        <v>0</v>
      </c>
      <c r="G41" s="463" t="e">
        <f t="shared" si="0"/>
        <v>#DIV/0!</v>
      </c>
    </row>
    <row r="42" spans="1:7" s="232" customFormat="1" ht="15" customHeight="1" x14ac:dyDescent="0.2">
      <c r="A42" s="204"/>
      <c r="B42" s="185" t="s">
        <v>7</v>
      </c>
      <c r="C42" s="27" t="s">
        <v>816</v>
      </c>
      <c r="D42" s="255">
        <f>SUM('6.2.sz.mell.'!H90)</f>
        <v>24500</v>
      </c>
      <c r="E42" s="255">
        <f>SUM('4.1 sz. mell'!E40+'4.2. sz. mell'!E40+'4.3 sz. mell'!E40+'4.4.sz. mell.'!E40+'4.5.sz. mell. '!E40+'4.6 sz. mell.'!E41+'4.7.sz. mell.'!E40)</f>
        <v>0</v>
      </c>
      <c r="F42" s="255">
        <f>SUM('4.1 sz. mell'!F40+'4.2. sz. mell'!F40+'4.3 sz. mell'!F40+'4.4.sz. mell.'!F40+'4.5.sz. mell. '!F40+'4.6 sz. mell.'!F41+'4.7.sz. mell.'!F40)</f>
        <v>0</v>
      </c>
      <c r="G42" s="255" t="e">
        <f t="shared" si="0"/>
        <v>#DIV/0!</v>
      </c>
    </row>
    <row r="43" spans="1:7" ht="15" customHeight="1" x14ac:dyDescent="0.2">
      <c r="A43" s="184"/>
      <c r="B43" s="185" t="s">
        <v>9</v>
      </c>
      <c r="C43" s="15" t="s">
        <v>135</v>
      </c>
      <c r="D43" s="255"/>
      <c r="E43" s="255">
        <f>SUM('4.1 sz. mell'!E41+'4.2. sz. mell'!E41+'4.3 sz. mell'!E41+'4.4.sz. mell.'!E41+'4.5.sz. mell. '!E41+'4.6 sz. mell.'!E42+'4.7.sz. mell.'!E41)</f>
        <v>0</v>
      </c>
      <c r="F43" s="255">
        <f>SUM('4.1 sz. mell'!F41+'4.2. sz. mell'!F41+'4.3 sz. mell'!F41+'4.4.sz. mell.'!F41+'4.5.sz. mell. '!F41+'4.6 sz. mell.'!F42+'4.7.sz. mell.'!F41)</f>
        <v>0</v>
      </c>
      <c r="G43" s="255"/>
    </row>
    <row r="44" spans="1:7" ht="36" customHeight="1" x14ac:dyDescent="0.2">
      <c r="A44" s="184"/>
      <c r="B44" s="185" t="s">
        <v>15</v>
      </c>
      <c r="C44" s="15" t="s">
        <v>138</v>
      </c>
      <c r="D44" s="255">
        <f>SUM('4.1 sz. mell'!D42+'4.2. sz. mell'!D42+'4.3 sz. mell'!D42+'4.4.sz. mell.'!D42+'4.5.sz. mell. '!D42+'4.6 sz. mell.'!D43+'4.7.sz. mell.'!D42)</f>
        <v>0</v>
      </c>
      <c r="E44" s="255">
        <f>SUM('4.1 sz. mell'!E42+'4.2. sz. mell'!E42+'4.3 sz. mell'!E42+'4.4.sz. mell.'!E42+'4.5.sz. mell. '!E42+'4.6 sz. mell.'!E43+'4.7.sz. mell.'!E42)</f>
        <v>0</v>
      </c>
      <c r="F44" s="255">
        <f>SUM('4.1 sz. mell'!F42+'4.2. sz. mell'!F42+'4.3 sz. mell'!F42+'4.4.sz. mell.'!F42+'4.5.sz. mell. '!F42+'4.6 sz. mell.'!F43+'4.7.sz. mell.'!F42)</f>
        <v>0</v>
      </c>
      <c r="G44" s="255"/>
    </row>
    <row r="45" spans="1:7" ht="15" customHeight="1" x14ac:dyDescent="0.2">
      <c r="A45" s="184"/>
      <c r="B45" s="185" t="s">
        <v>19</v>
      </c>
      <c r="C45" s="15" t="s">
        <v>817</v>
      </c>
      <c r="D45" s="255">
        <f>SUM('4.1 sz. mell'!D43+'4.2. sz. mell'!D43+'4.3 sz. mell'!D43+'4.4.sz. mell.'!D43+'4.5.sz. mell. '!D43+'4.6 sz. mell.'!D44+'4.7.sz. mell.'!D43)</f>
        <v>0</v>
      </c>
      <c r="E45" s="255">
        <f>SUM('4.1 sz. mell'!E43+'4.2. sz. mell'!E43+'4.3 sz. mell'!E43+'4.4.sz. mell.'!E43+'4.5.sz. mell. '!E43+'4.6 sz. mell.'!E44+'4.7.sz. mell.'!E43)</f>
        <v>0</v>
      </c>
      <c r="F45" s="255">
        <f>SUM('4.1 sz. mell'!F43+'4.2. sz. mell'!F43+'4.3 sz. mell'!F43+'4.4.sz. mell.'!F43+'4.5.sz. mell. '!F43+'4.6 sz. mell.'!F44+'4.7.sz. mell.'!F43)</f>
        <v>0</v>
      </c>
      <c r="G45" s="255"/>
    </row>
    <row r="46" spans="1:7" ht="15" customHeight="1" x14ac:dyDescent="0.2">
      <c r="A46" s="208" t="s">
        <v>20</v>
      </c>
      <c r="B46" s="464"/>
      <c r="C46" s="465" t="s">
        <v>818</v>
      </c>
      <c r="D46" s="258">
        <f>SUM('4.1 sz. mell'!D44+'4.2. sz. mell'!D44+'4.3 sz. mell'!D44+'4.4.sz. mell.'!D44+'4.5.sz. mell. '!D44+'4.6 sz. mell.'!D45+'4.7.sz. mell.'!D44)</f>
        <v>0</v>
      </c>
      <c r="E46" s="258">
        <f>SUM('4.1 sz. mell'!E44+'4.2. sz. mell'!E44+'4.3 sz. mell'!E44+'4.4.sz. mell.'!E44+'4.5.sz. mell. '!E44+'4.6 sz. mell.'!E45+'4.7.sz. mell.'!E44)</f>
        <v>0</v>
      </c>
      <c r="F46" s="258">
        <f>SUM('4.1 sz. mell'!F44+'4.2. sz. mell'!F44+'4.3 sz. mell'!F44+'4.4.sz. mell.'!F44+'4.5.sz. mell. '!F44+'4.6 sz. mell.'!F45+'4.7.sz. mell.'!F44)</f>
        <v>0</v>
      </c>
      <c r="G46" s="258"/>
    </row>
    <row r="47" spans="1:7" s="187" customFormat="1" ht="15" customHeight="1" x14ac:dyDescent="0.2">
      <c r="A47" s="180"/>
      <c r="B47" s="12"/>
      <c r="C47" s="67" t="s">
        <v>819</v>
      </c>
      <c r="D47" s="220"/>
      <c r="E47" s="220">
        <f>'4.1 sz. mell'!E45+'4.2. sz. mell'!E45+'4.3 sz. mell'!E45+'4.4.sz. mell.'!E45+'4.5.sz. mell. '!E45+'4.6 sz. mell.'!E46+'4.7.sz. mell.'!E45+'4.8.sz. mell.'!E46</f>
        <v>0</v>
      </c>
      <c r="F47" s="220">
        <f>'4.1 sz. mell'!F45+'4.2. sz. mell'!F45+'4.3 sz. mell'!F45+'4.4.sz. mell.'!F45+'4.5.sz. mell. '!F45+'4.6 sz. mell.'!F46+'4.7.sz. mell.'!F45+'4.8.sz. mell.'!F46</f>
        <v>0</v>
      </c>
      <c r="G47" s="220"/>
    </row>
    <row r="48" spans="1:7" ht="19.5" customHeight="1" x14ac:dyDescent="0.25">
      <c r="A48" s="268" t="s">
        <v>150</v>
      </c>
      <c r="B48" s="269"/>
      <c r="C48" s="461" t="s">
        <v>820</v>
      </c>
      <c r="D48" s="466">
        <f>+D33+D41+D46</f>
        <v>603273</v>
      </c>
      <c r="E48" s="466">
        <f>+E33+E41+E46+E47</f>
        <v>0</v>
      </c>
      <c r="F48" s="466">
        <f>+F33+F41+F46+F47</f>
        <v>0</v>
      </c>
      <c r="G48" s="466" t="e">
        <f t="shared" si="0"/>
        <v>#DIV/0!</v>
      </c>
    </row>
    <row r="49" spans="1:7" ht="15" customHeight="1" x14ac:dyDescent="0.2">
      <c r="A49" s="283"/>
      <c r="B49" s="284"/>
      <c r="C49" s="284"/>
      <c r="D49" s="243"/>
      <c r="E49" s="243"/>
      <c r="F49" s="243"/>
      <c r="G49" s="243"/>
    </row>
    <row r="50" spans="1:7" ht="15" customHeight="1" x14ac:dyDescent="0.2">
      <c r="A50" s="1608" t="s">
        <v>297</v>
      </c>
      <c r="B50" s="1608"/>
      <c r="C50" s="1608"/>
      <c r="D50" s="467">
        <f>SUM('4.1 sz. mell'!D48+'4.2. sz. mell'!D48+'4.3 sz. mell'!D48+'4.4.sz. mell.'!D48+'4.5.sz. mell. '!D48+'4.6 sz. mell.'!D49+'4.7.sz. mell.'!D48+'4.8.sz. mell.'!D49)</f>
        <v>104</v>
      </c>
      <c r="E50" s="467">
        <f>SUM('4.1 sz. mell'!E48+'4.2. sz. mell'!E48+'4.3 sz. mell'!E48+'4.4.sz. mell.'!E48+'4.5.sz. mell. '!E48+'4.6 sz. mell.'!E49+'4.7.sz. mell.'!E48+'4.8.sz. mell.'!E49)</f>
        <v>0</v>
      </c>
      <c r="F50" s="467">
        <f>SUM('4.1 sz. mell'!F48+'4.2. sz. mell'!F48+'4.3 sz. mell'!F48+'4.4.sz. mell.'!F48+'4.5.sz. mell. '!F48+'4.6 sz. mell.'!F49+'4.7.sz. mell.'!F48+'4.8.sz. mell.'!F49)</f>
        <v>0</v>
      </c>
      <c r="G50" s="467"/>
    </row>
    <row r="51" spans="1:7" ht="15" customHeight="1" x14ac:dyDescent="0.2">
      <c r="A51" s="1608" t="s">
        <v>298</v>
      </c>
      <c r="B51" s="1608"/>
      <c r="C51" s="1608"/>
      <c r="D51" s="220">
        <f>SUM('4.1 sz. mell'!D49+'4.2. sz. mell'!D49+'4.3 sz. mell'!D49+'4.4.sz. mell.'!D49+'4.5.sz. mell. '!D49+'4.6 sz. mell.'!D50+'4.7.sz. mell.'!D49)</f>
        <v>0</v>
      </c>
      <c r="E51" s="220">
        <f>SUM('4.1 sz. mell'!E49+'4.2. sz. mell'!E49+'4.3 sz. mell'!E49+'4.4.sz. mell.'!E49+'4.5.sz. mell. '!E49+'4.6 sz. mell.'!E50+'4.7.sz. mell.'!E49)</f>
        <v>0</v>
      </c>
      <c r="F51" s="220">
        <f>SUM('4.1 sz. mell'!F49+'4.2. sz. mell'!F49+'4.3 sz. mell'!F49+'4.4.sz. mell.'!F49+'4.5.sz. mell. '!F49+'4.6 sz. mell.'!F50+'4.7.sz. mell.'!F49)</f>
        <v>0</v>
      </c>
      <c r="G51" s="220"/>
    </row>
  </sheetData>
  <sheetProtection selectLockedCells="1" selectUnlockedCells="1"/>
  <mergeCells count="7">
    <mergeCell ref="A51:C51"/>
    <mergeCell ref="D1:G1"/>
    <mergeCell ref="A2:B2"/>
    <mergeCell ref="A3:B3"/>
    <mergeCell ref="D4:F4"/>
    <mergeCell ref="A5:B5"/>
    <mergeCell ref="A50:C50"/>
  </mergeCells>
  <printOptions horizontalCentered="1"/>
  <pageMargins left="0.27559055118110237" right="0.23622047244094491" top="0.31496062992125984" bottom="0.47244094488188981" header="0.19685039370078741" footer="0.23622047244094491"/>
  <pageSetup paperSize="9" scale="90" firstPageNumber="61" orientation="portrait" useFirstPageNumber="1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12" zoomScale="120" zoomScaleSheetLayoutView="120" workbookViewId="0">
      <selection activeCell="D29" sqref="D29"/>
    </sheetView>
  </sheetViews>
  <sheetFormatPr defaultRowHeight="12.75" x14ac:dyDescent="0.2"/>
  <cols>
    <col min="1" max="1" width="9.6640625" style="161" customWidth="1"/>
    <col min="2" max="2" width="7.6640625" style="162" customWidth="1"/>
    <col min="3" max="3" width="62" style="162" customWidth="1"/>
    <col min="4" max="4" width="18" style="162" customWidth="1"/>
    <col min="5" max="6" width="18" style="162" hidden="1" customWidth="1"/>
    <col min="7" max="7" width="9.5" style="162" hidden="1" customWidth="1"/>
    <col min="8" max="8" width="9.33203125" style="162"/>
    <col min="9" max="9" width="9.5" style="162" bestFit="1" customWidth="1"/>
    <col min="10" max="16384" width="9.33203125" style="162"/>
  </cols>
  <sheetData>
    <row r="1" spans="1:7" s="449" customFormat="1" ht="21" customHeight="1" x14ac:dyDescent="0.2">
      <c r="A1" s="446"/>
      <c r="B1" s="447"/>
      <c r="C1" s="468"/>
      <c r="D1" s="1610" t="s">
        <v>821</v>
      </c>
      <c r="E1" s="1610"/>
      <c r="F1" s="1610"/>
      <c r="G1" s="1610"/>
    </row>
    <row r="2" spans="1:7" s="165" customFormat="1" ht="30.75" customHeight="1" x14ac:dyDescent="0.2">
      <c r="A2" s="1573" t="s">
        <v>796</v>
      </c>
      <c r="B2" s="1573"/>
      <c r="C2" s="163" t="s">
        <v>797</v>
      </c>
      <c r="D2" s="469"/>
      <c r="E2" s="469"/>
      <c r="F2" s="469"/>
      <c r="G2" s="469"/>
    </row>
    <row r="3" spans="1:7" s="165" customFormat="1" ht="33" customHeight="1" x14ac:dyDescent="0.2">
      <c r="A3" s="1571" t="s">
        <v>264</v>
      </c>
      <c r="B3" s="1571"/>
      <c r="C3" s="166" t="s">
        <v>822</v>
      </c>
      <c r="D3" s="92" t="s">
        <v>1489</v>
      </c>
      <c r="E3" s="92" t="s">
        <v>2</v>
      </c>
      <c r="F3" s="92" t="s">
        <v>2</v>
      </c>
      <c r="G3" s="92" t="s">
        <v>2</v>
      </c>
    </row>
    <row r="4" spans="1:7" s="169" customFormat="1" ht="15.95" customHeight="1" x14ac:dyDescent="0.2">
      <c r="A4" s="470"/>
      <c r="B4" s="470"/>
      <c r="C4" s="470"/>
      <c r="D4" s="1611"/>
      <c r="E4" s="1611"/>
      <c r="F4" s="1611"/>
      <c r="G4" s="471" t="s">
        <v>196</v>
      </c>
    </row>
    <row r="5" spans="1:7" ht="29.25" customHeight="1" x14ac:dyDescent="0.2">
      <c r="A5" s="1612" t="s">
        <v>266</v>
      </c>
      <c r="B5" s="1612"/>
      <c r="C5" s="472" t="s">
        <v>267</v>
      </c>
      <c r="D5" s="473" t="s">
        <v>268</v>
      </c>
      <c r="E5" s="473" t="s">
        <v>269</v>
      </c>
      <c r="F5" s="473" t="s">
        <v>270</v>
      </c>
      <c r="G5" s="473" t="s">
        <v>3</v>
      </c>
    </row>
    <row r="6" spans="1:7" s="175" customFormat="1" ht="15" customHeight="1" x14ac:dyDescent="0.2">
      <c r="A6" s="180">
        <v>1</v>
      </c>
      <c r="B6" s="474">
        <v>2</v>
      </c>
      <c r="C6" s="474">
        <v>3</v>
      </c>
      <c r="D6" s="475">
        <v>4</v>
      </c>
      <c r="E6" s="475">
        <v>5</v>
      </c>
      <c r="F6" s="475">
        <v>6</v>
      </c>
      <c r="G6" s="475">
        <v>7</v>
      </c>
    </row>
    <row r="7" spans="1:7" s="175" customFormat="1" ht="15" customHeight="1" x14ac:dyDescent="0.2">
      <c r="A7" s="476"/>
      <c r="B7" s="477"/>
      <c r="C7" s="477" t="s">
        <v>198</v>
      </c>
      <c r="D7" s="478"/>
      <c r="E7" s="478"/>
      <c r="F7" s="478"/>
      <c r="G7" s="478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112">
        <f>SUM(D9:D16)</f>
        <v>0</v>
      </c>
      <c r="E8" s="112">
        <f>SUM(E9:E16)</f>
        <v>0</v>
      </c>
      <c r="F8" s="112">
        <f>SUM(F9:F16)</f>
        <v>0</v>
      </c>
      <c r="G8" s="112"/>
    </row>
    <row r="9" spans="1:7" s="183" customFormat="1" ht="15" customHeight="1" x14ac:dyDescent="0.2">
      <c r="A9" s="192"/>
      <c r="B9" s="185" t="s">
        <v>103</v>
      </c>
      <c r="C9" s="19" t="s">
        <v>23</v>
      </c>
      <c r="D9" s="262">
        <v>0</v>
      </c>
      <c r="E9" s="262">
        <v>0</v>
      </c>
      <c r="F9" s="262">
        <v>0</v>
      </c>
      <c r="G9" s="262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/>
      <c r="E10" s="255">
        <v>0</v>
      </c>
      <c r="F10" s="255"/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>
        <v>0</v>
      </c>
      <c r="E11" s="255">
        <v>0</v>
      </c>
      <c r="F11" s="255"/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>
        <v>0</v>
      </c>
      <c r="E12" s="255">
        <v>0</v>
      </c>
      <c r="F12" s="255"/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>
        <v>0</v>
      </c>
      <c r="E13" s="255">
        <v>0</v>
      </c>
      <c r="F13" s="255"/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5">
        <v>0</v>
      </c>
      <c r="E14" s="255">
        <v>0</v>
      </c>
      <c r="F14" s="255"/>
      <c r="G14" s="255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>
        <v>0</v>
      </c>
      <c r="E15" s="255">
        <v>0</v>
      </c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62">
        <v>0</v>
      </c>
      <c r="E16" s="262">
        <v>0</v>
      </c>
      <c r="F16" s="262"/>
      <c r="G16" s="262"/>
    </row>
    <row r="17" spans="1:9" s="183" customFormat="1" ht="15" customHeight="1" thickBot="1" x14ac:dyDescent="0.25">
      <c r="A17" s="180" t="s">
        <v>6</v>
      </c>
      <c r="B17" s="181"/>
      <c r="C17" s="222" t="s">
        <v>1963</v>
      </c>
      <c r="D17" s="479">
        <f>SUM(D18:D21)</f>
        <v>14937</v>
      </c>
      <c r="E17" s="479">
        <f>SUM(E18:E21)</f>
        <v>0</v>
      </c>
      <c r="F17" s="479">
        <f>SUM(F18:F21)</f>
        <v>0</v>
      </c>
      <c r="G17" s="479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1964</v>
      </c>
      <c r="D18" s="193">
        <v>14937</v>
      </c>
      <c r="E18" s="193"/>
      <c r="F18" s="193"/>
      <c r="G18" s="193" t="e">
        <f>F18/E18*100</f>
        <v>#DIV/0!</v>
      </c>
    </row>
    <row r="19" spans="1:9" s="187" customFormat="1" ht="15" customHeight="1" x14ac:dyDescent="0.2">
      <c r="A19" s="184"/>
      <c r="B19" s="185" t="s">
        <v>9</v>
      </c>
      <c r="C19" s="15" t="s">
        <v>1965</v>
      </c>
      <c r="D19" s="255">
        <v>0</v>
      </c>
      <c r="E19" s="255">
        <v>0</v>
      </c>
      <c r="F19" s="255">
        <v>0</v>
      </c>
      <c r="G19" s="255"/>
    </row>
    <row r="20" spans="1:9" s="187" customFormat="1" ht="15" customHeight="1" x14ac:dyDescent="0.2">
      <c r="A20" s="184"/>
      <c r="B20" s="185" t="s">
        <v>11</v>
      </c>
      <c r="C20" s="15" t="s">
        <v>802</v>
      </c>
      <c r="D20" s="255">
        <v>0</v>
      </c>
      <c r="E20" s="255">
        <v>0</v>
      </c>
      <c r="F20" s="255">
        <v>0</v>
      </c>
      <c r="G20" s="255"/>
    </row>
    <row r="21" spans="1:9" s="187" customFormat="1" ht="15" customHeight="1" x14ac:dyDescent="0.2">
      <c r="A21" s="184"/>
      <c r="B21" s="185" t="s">
        <v>13</v>
      </c>
      <c r="C21" s="15" t="s">
        <v>803</v>
      </c>
      <c r="D21" s="258">
        <v>0</v>
      </c>
      <c r="E21" s="258">
        <v>0</v>
      </c>
      <c r="F21" s="258">
        <v>0</v>
      </c>
      <c r="G21" s="258"/>
    </row>
    <row r="22" spans="1:9" s="187" customFormat="1" ht="15" customHeight="1" x14ac:dyDescent="0.2">
      <c r="A22" s="180" t="s">
        <v>20</v>
      </c>
      <c r="B22" s="12"/>
      <c r="C22" s="12" t="s">
        <v>804</v>
      </c>
      <c r="D22" s="220">
        <v>0</v>
      </c>
      <c r="E22" s="220">
        <v>0</v>
      </c>
      <c r="F22" s="220">
        <v>0</v>
      </c>
      <c r="G22" s="220"/>
    </row>
    <row r="23" spans="1:9" s="187" customFormat="1" ht="15" customHeight="1" x14ac:dyDescent="0.2">
      <c r="A23" s="180" t="s">
        <v>150</v>
      </c>
      <c r="B23" s="12"/>
      <c r="C23" s="12" t="s">
        <v>805</v>
      </c>
      <c r="D23" s="220"/>
      <c r="E23" s="220">
        <v>0</v>
      </c>
      <c r="F23" s="220"/>
      <c r="G23" s="220"/>
    </row>
    <row r="24" spans="1:9" s="183" customFormat="1" ht="15" customHeight="1" x14ac:dyDescent="0.2">
      <c r="A24" s="180" t="s">
        <v>39</v>
      </c>
      <c r="B24" s="181"/>
      <c r="C24" s="12" t="s">
        <v>806</v>
      </c>
      <c r="D24" s="220"/>
      <c r="E24" s="220"/>
      <c r="F24" s="220"/>
      <c r="G24" s="220"/>
    </row>
    <row r="25" spans="1:9" s="183" customFormat="1" ht="15" customHeight="1" x14ac:dyDescent="0.2">
      <c r="A25" s="180" t="s">
        <v>49</v>
      </c>
      <c r="B25" s="209"/>
      <c r="C25" s="12" t="s">
        <v>807</v>
      </c>
      <c r="D25" s="254">
        <f>+D26+D27</f>
        <v>0</v>
      </c>
      <c r="E25" s="254">
        <f>+E26+E27</f>
        <v>0</v>
      </c>
      <c r="F25" s="254">
        <f>+F26+F27</f>
        <v>0</v>
      </c>
      <c r="G25" s="254"/>
    </row>
    <row r="26" spans="1:9" s="183" customFormat="1" ht="15" customHeight="1" x14ac:dyDescent="0.2">
      <c r="A26" s="192"/>
      <c r="B26" s="199" t="s">
        <v>50</v>
      </c>
      <c r="C26" s="19" t="s">
        <v>808</v>
      </c>
      <c r="D26" s="255"/>
      <c r="E26" s="255"/>
      <c r="F26" s="255"/>
      <c r="G26" s="255"/>
    </row>
    <row r="27" spans="1:9" s="183" customFormat="1" ht="15" customHeight="1" x14ac:dyDescent="0.2">
      <c r="A27" s="202"/>
      <c r="B27" s="203" t="s">
        <v>63</v>
      </c>
      <c r="C27" s="24" t="s">
        <v>809</v>
      </c>
      <c r="D27" s="255"/>
      <c r="E27" s="255"/>
      <c r="F27" s="255"/>
      <c r="G27" s="255"/>
    </row>
    <row r="28" spans="1:9" s="187" customFormat="1" ht="15" customHeight="1" x14ac:dyDescent="0.25">
      <c r="A28" s="212" t="s">
        <v>179</v>
      </c>
      <c r="B28" s="213"/>
      <c r="C28" s="12" t="s">
        <v>282</v>
      </c>
      <c r="D28" s="255">
        <v>188571</v>
      </c>
      <c r="E28" s="255"/>
      <c r="F28" s="255"/>
      <c r="G28" s="255" t="e">
        <f>F28/E28*100</f>
        <v>#DIV/0!</v>
      </c>
      <c r="I28" s="201">
        <f>SUM(D46-D30)</f>
        <v>0</v>
      </c>
    </row>
    <row r="29" spans="1:9" s="187" customFormat="1" ht="15" customHeight="1" x14ac:dyDescent="0.25">
      <c r="A29" s="212"/>
      <c r="B29" s="213"/>
      <c r="C29" s="12" t="s">
        <v>810</v>
      </c>
      <c r="D29" s="220"/>
      <c r="E29" s="220">
        <v>0</v>
      </c>
      <c r="F29" s="220"/>
      <c r="G29" s="220"/>
    </row>
    <row r="30" spans="1:9" s="187" customFormat="1" ht="21" customHeight="1" x14ac:dyDescent="0.2">
      <c r="A30" s="268" t="s">
        <v>75</v>
      </c>
      <c r="B30" s="269"/>
      <c r="C30" s="480" t="s">
        <v>811</v>
      </c>
      <c r="D30" s="270">
        <f>SUM(D8,D17,D22,D23,D24,D25,D28)</f>
        <v>203508</v>
      </c>
      <c r="E30" s="270">
        <f>SUM(E8,E17,E22,E23,E24,E25,E28,E29)</f>
        <v>0</v>
      </c>
      <c r="F30" s="270">
        <f>SUM(F8,F17,F22,F23,F24,F25,F28,F29)</f>
        <v>0</v>
      </c>
      <c r="G30" s="270" t="e">
        <f>F30/E30*100</f>
        <v>#DIV/0!</v>
      </c>
    </row>
    <row r="31" spans="1:9" s="187" customFormat="1" ht="15" customHeight="1" x14ac:dyDescent="0.2">
      <c r="A31" s="462"/>
      <c r="B31" s="462"/>
      <c r="C31" s="481"/>
      <c r="D31" s="273"/>
      <c r="E31" s="273"/>
      <c r="F31" s="273"/>
      <c r="G31" s="273"/>
    </row>
    <row r="32" spans="1:9" s="175" customFormat="1" ht="15" customHeight="1" x14ac:dyDescent="0.2">
      <c r="A32" s="451"/>
      <c r="B32" s="452"/>
      <c r="C32" s="452" t="s">
        <v>199</v>
      </c>
      <c r="D32" s="453"/>
      <c r="E32" s="453"/>
      <c r="F32" s="453"/>
      <c r="G32" s="453"/>
    </row>
    <row r="33" spans="1:7" s="232" customFormat="1" ht="15" customHeight="1" x14ac:dyDescent="0.2">
      <c r="A33" s="180" t="s">
        <v>5</v>
      </c>
      <c r="B33" s="12"/>
      <c r="C33" s="67" t="s">
        <v>102</v>
      </c>
      <c r="D33" s="254">
        <f>SUM(D34:D38)</f>
        <v>203508</v>
      </c>
      <c r="E33" s="254">
        <f>SUM(E34:E38)</f>
        <v>0</v>
      </c>
      <c r="F33" s="254">
        <f>SUM(F34:F38)</f>
        <v>0</v>
      </c>
      <c r="G33" s="254" t="e">
        <f>F33/E33*100</f>
        <v>#DIV/0!</v>
      </c>
    </row>
    <row r="34" spans="1:7" ht="15" customHeight="1" x14ac:dyDescent="0.2">
      <c r="A34" s="204"/>
      <c r="B34" s="231" t="s">
        <v>103</v>
      </c>
      <c r="C34" s="27" t="s">
        <v>104</v>
      </c>
      <c r="D34" s="262">
        <v>121542</v>
      </c>
      <c r="E34" s="262"/>
      <c r="F34" s="262"/>
      <c r="G34" s="262" t="e">
        <f>F34/E34*100</f>
        <v>#DIV/0!</v>
      </c>
    </row>
    <row r="35" spans="1:7" ht="15" customHeight="1" x14ac:dyDescent="0.2">
      <c r="A35" s="184"/>
      <c r="B35" s="200" t="s">
        <v>105</v>
      </c>
      <c r="C35" s="15" t="s">
        <v>106</v>
      </c>
      <c r="D35" s="255">
        <v>31363</v>
      </c>
      <c r="E35" s="255"/>
      <c r="F35" s="255"/>
      <c r="G35" s="255" t="e">
        <f>F35/E35*100</f>
        <v>#DIV/0!</v>
      </c>
    </row>
    <row r="36" spans="1:7" ht="15" customHeight="1" x14ac:dyDescent="0.2">
      <c r="A36" s="184"/>
      <c r="B36" s="200" t="s">
        <v>107</v>
      </c>
      <c r="C36" s="15" t="s">
        <v>108</v>
      </c>
      <c r="D36" s="255">
        <v>50603</v>
      </c>
      <c r="E36" s="255"/>
      <c r="F36" s="255"/>
      <c r="G36" s="255" t="e">
        <f>F36/E36*100</f>
        <v>#DIV/0!</v>
      </c>
    </row>
    <row r="37" spans="1:7" ht="15" customHeight="1" x14ac:dyDescent="0.2">
      <c r="A37" s="184"/>
      <c r="B37" s="200" t="s">
        <v>109</v>
      </c>
      <c r="C37" s="15" t="s">
        <v>110</v>
      </c>
      <c r="D37" s="255"/>
      <c r="E37" s="255"/>
      <c r="F37" s="255"/>
      <c r="G37" s="255"/>
    </row>
    <row r="38" spans="1:7" ht="15" customHeight="1" x14ac:dyDescent="0.2">
      <c r="A38" s="184"/>
      <c r="B38" s="200" t="s">
        <v>111</v>
      </c>
      <c r="C38" s="15" t="s">
        <v>112</v>
      </c>
      <c r="D38" s="255"/>
      <c r="E38" s="255"/>
      <c r="F38" s="255"/>
      <c r="G38" s="255" t="e">
        <f>F38/E38*100</f>
        <v>#DIV/0!</v>
      </c>
    </row>
    <row r="39" spans="1:7" ht="15" customHeight="1" x14ac:dyDescent="0.2">
      <c r="A39" s="180" t="s">
        <v>6</v>
      </c>
      <c r="B39" s="12"/>
      <c r="C39" s="67" t="s">
        <v>823</v>
      </c>
      <c r="D39" s="254">
        <f>SUM(D40:D43)</f>
        <v>0</v>
      </c>
      <c r="E39" s="254">
        <f>SUM(E40:E43)</f>
        <v>0</v>
      </c>
      <c r="F39" s="254">
        <f>SUM(F40:F43)</f>
        <v>0</v>
      </c>
      <c r="G39" s="254" t="e">
        <f>F39/E39*100</f>
        <v>#DIV/0!</v>
      </c>
    </row>
    <row r="40" spans="1:7" s="232" customFormat="1" ht="15" customHeight="1" x14ac:dyDescent="0.2">
      <c r="A40" s="204"/>
      <c r="B40" s="231" t="s">
        <v>7</v>
      </c>
      <c r="C40" s="27" t="s">
        <v>816</v>
      </c>
      <c r="D40" s="262"/>
      <c r="E40" s="262"/>
      <c r="F40" s="262"/>
      <c r="G40" s="262" t="e">
        <f>F40/E40*100</f>
        <v>#DIV/0!</v>
      </c>
    </row>
    <row r="41" spans="1:7" ht="15" customHeight="1" x14ac:dyDescent="0.2">
      <c r="A41" s="184"/>
      <c r="B41" s="200" t="s">
        <v>9</v>
      </c>
      <c r="C41" s="15" t="s">
        <v>135</v>
      </c>
      <c r="D41" s="255">
        <v>0</v>
      </c>
      <c r="E41" s="255"/>
      <c r="F41" s="255"/>
      <c r="G41" s="255"/>
    </row>
    <row r="42" spans="1:7" ht="29.25" customHeight="1" x14ac:dyDescent="0.2">
      <c r="A42" s="184"/>
      <c r="B42" s="200" t="s">
        <v>15</v>
      </c>
      <c r="C42" s="15" t="s">
        <v>138</v>
      </c>
      <c r="D42" s="255">
        <v>0</v>
      </c>
      <c r="E42" s="255">
        <v>0</v>
      </c>
      <c r="F42" s="255">
        <v>0</v>
      </c>
      <c r="G42" s="255"/>
    </row>
    <row r="43" spans="1:7" ht="15" customHeight="1" x14ac:dyDescent="0.2">
      <c r="A43" s="184"/>
      <c r="B43" s="200" t="s">
        <v>19</v>
      </c>
      <c r="C43" s="15" t="s">
        <v>817</v>
      </c>
      <c r="D43" s="255">
        <v>0</v>
      </c>
      <c r="E43" s="255">
        <v>0</v>
      </c>
      <c r="F43" s="255">
        <v>0</v>
      </c>
      <c r="G43" s="255"/>
    </row>
    <row r="44" spans="1:7" ht="15" customHeight="1" x14ac:dyDescent="0.2">
      <c r="A44" s="180" t="s">
        <v>20</v>
      </c>
      <c r="B44" s="12"/>
      <c r="C44" s="67" t="s">
        <v>818</v>
      </c>
      <c r="D44" s="220">
        <v>0</v>
      </c>
      <c r="E44" s="220">
        <v>0</v>
      </c>
      <c r="F44" s="220">
        <v>0</v>
      </c>
      <c r="G44" s="220"/>
    </row>
    <row r="45" spans="1:7" s="187" customFormat="1" ht="15" customHeight="1" x14ac:dyDescent="0.2">
      <c r="A45" s="180"/>
      <c r="B45" s="12"/>
      <c r="C45" s="67" t="s">
        <v>819</v>
      </c>
      <c r="D45" s="220"/>
      <c r="E45" s="220">
        <v>0</v>
      </c>
      <c r="F45" s="220"/>
      <c r="G45" s="220"/>
    </row>
    <row r="46" spans="1:7" ht="15" customHeight="1" x14ac:dyDescent="0.2">
      <c r="A46" s="268" t="s">
        <v>150</v>
      </c>
      <c r="B46" s="269"/>
      <c r="C46" s="480" t="s">
        <v>820</v>
      </c>
      <c r="D46" s="270">
        <f>+D33+D39+D44</f>
        <v>203508</v>
      </c>
      <c r="E46" s="270">
        <f>+E33+E39+E44+E45</f>
        <v>0</v>
      </c>
      <c r="F46" s="270">
        <f>+F33+F39+F44+F45</f>
        <v>0</v>
      </c>
      <c r="G46" s="270" t="e">
        <f>F46/E46*100</f>
        <v>#DIV/0!</v>
      </c>
    </row>
    <row r="47" spans="1:7" ht="15" customHeight="1" x14ac:dyDescent="0.2">
      <c r="A47" s="242"/>
      <c r="B47" s="243"/>
      <c r="C47" s="243"/>
      <c r="D47" s="243"/>
      <c r="E47" s="243"/>
      <c r="F47" s="243"/>
      <c r="G47" s="243"/>
    </row>
    <row r="48" spans="1:7" ht="15" customHeight="1" x14ac:dyDescent="0.2">
      <c r="A48" s="244" t="s">
        <v>297</v>
      </c>
      <c r="B48" s="245"/>
      <c r="C48" s="246"/>
      <c r="D48" s="247">
        <v>31.5</v>
      </c>
      <c r="E48" s="247"/>
      <c r="F48" s="247"/>
      <c r="G48" s="247"/>
    </row>
    <row r="49" spans="1:7" ht="15" customHeight="1" x14ac:dyDescent="0.2">
      <c r="A49" s="244" t="s">
        <v>298</v>
      </c>
      <c r="B49" s="245"/>
      <c r="C49" s="246"/>
      <c r="D49" s="482"/>
      <c r="E49" s="482"/>
      <c r="F49" s="482"/>
      <c r="G49" s="482"/>
    </row>
  </sheetData>
  <sheetProtection selectLockedCells="1" selectUnlockedCells="1"/>
  <mergeCells count="5">
    <mergeCell ref="D1:G1"/>
    <mergeCell ref="A2:B2"/>
    <mergeCell ref="A3:B3"/>
    <mergeCell ref="D4:F4"/>
    <mergeCell ref="A5:B5"/>
  </mergeCells>
  <printOptions horizontalCentered="1"/>
  <pageMargins left="0.27559055118110237" right="0.43307086614173229" top="0.27559055118110237" bottom="0.39370078740157483" header="0.15748031496062992" footer="0.15748031496062992"/>
  <pageSetup paperSize="9" scale="98" firstPageNumber="62" orientation="portrait" useFirstPageNumber="1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A7" zoomScaleNormal="130" workbookViewId="0">
      <selection activeCell="D29" sqref="D29"/>
    </sheetView>
  </sheetViews>
  <sheetFormatPr defaultRowHeight="12.75" x14ac:dyDescent="0.2"/>
  <cols>
    <col min="1" max="1" width="9.6640625" style="161" customWidth="1"/>
    <col min="2" max="2" width="9.6640625" style="162" customWidth="1"/>
    <col min="3" max="3" width="70.33203125" style="162" customWidth="1"/>
    <col min="4" max="4" width="18.5" style="162" customWidth="1"/>
    <col min="5" max="6" width="14.1640625" style="162" hidden="1" customWidth="1"/>
    <col min="7" max="7" width="9.83203125" style="162" hidden="1" customWidth="1"/>
    <col min="8" max="8" width="9.33203125" style="162" customWidth="1"/>
    <col min="9" max="16384" width="9.33203125" style="162"/>
  </cols>
  <sheetData>
    <row r="1" spans="1:7" s="449" customFormat="1" ht="21" customHeight="1" x14ac:dyDescent="0.2">
      <c r="A1" s="446"/>
      <c r="B1" s="447"/>
      <c r="C1" s="468"/>
      <c r="D1" s="1610" t="s">
        <v>824</v>
      </c>
      <c r="E1" s="1610"/>
      <c r="F1" s="1610"/>
      <c r="G1" s="1610"/>
    </row>
    <row r="2" spans="1:7" s="165" customFormat="1" ht="31.5" customHeight="1" x14ac:dyDescent="0.2">
      <c r="A2" s="1573" t="s">
        <v>796</v>
      </c>
      <c r="B2" s="1573"/>
      <c r="C2" s="163" t="s">
        <v>797</v>
      </c>
      <c r="D2" s="469"/>
      <c r="E2" s="469"/>
      <c r="F2" s="469"/>
      <c r="G2" s="469"/>
    </row>
    <row r="3" spans="1:7" s="165" customFormat="1" ht="30" customHeight="1" x14ac:dyDescent="0.2">
      <c r="A3" s="1571" t="s">
        <v>264</v>
      </c>
      <c r="B3" s="1571"/>
      <c r="C3" s="166" t="s">
        <v>825</v>
      </c>
      <c r="D3" s="450"/>
      <c r="E3" s="450"/>
      <c r="F3" s="450"/>
      <c r="G3" s="450"/>
    </row>
    <row r="4" spans="1:7" s="169" customFormat="1" ht="15.95" customHeight="1" x14ac:dyDescent="0.25">
      <c r="A4" s="167"/>
      <c r="B4" s="167"/>
      <c r="C4" s="167"/>
      <c r="D4" s="1590"/>
      <c r="E4" s="1590"/>
      <c r="F4" s="1590"/>
      <c r="G4" s="168" t="s">
        <v>196</v>
      </c>
    </row>
    <row r="5" spans="1:7" ht="38.2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175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175" customFormat="1" ht="15" customHeight="1" x14ac:dyDescent="0.2">
      <c r="A7" s="476"/>
      <c r="B7" s="477"/>
      <c r="C7" s="477" t="s">
        <v>198</v>
      </c>
      <c r="D7" s="478"/>
      <c r="E7" s="478"/>
      <c r="F7" s="478"/>
      <c r="G7" s="478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483">
        <f>SUM(D9:D16)</f>
        <v>0</v>
      </c>
      <c r="E8" s="483">
        <f>SUM(E9:E16)</f>
        <v>0</v>
      </c>
      <c r="F8" s="483">
        <f>SUM(F9:F16)</f>
        <v>0</v>
      </c>
      <c r="G8" s="483"/>
    </row>
    <row r="9" spans="1:7" s="183" customFormat="1" ht="15" customHeight="1" x14ac:dyDescent="0.2">
      <c r="A9" s="192"/>
      <c r="B9" s="185" t="s">
        <v>103</v>
      </c>
      <c r="C9" s="19" t="s">
        <v>23</v>
      </c>
      <c r="D9" s="484"/>
      <c r="E9" s="484"/>
      <c r="F9" s="484"/>
      <c r="G9" s="484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485"/>
      <c r="E10" s="485"/>
      <c r="F10" s="485"/>
      <c r="G10" s="48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485"/>
      <c r="E11" s="485"/>
      <c r="F11" s="485"/>
      <c r="G11" s="48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485"/>
      <c r="E12" s="485"/>
      <c r="F12" s="485"/>
      <c r="G12" s="48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485"/>
      <c r="E13" s="485"/>
      <c r="F13" s="485"/>
      <c r="G13" s="48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486"/>
      <c r="E14" s="486"/>
      <c r="F14" s="486"/>
      <c r="G14" s="48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485"/>
      <c r="E15" s="485"/>
      <c r="F15" s="485"/>
      <c r="G15" s="48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487"/>
      <c r="E16" s="487"/>
      <c r="F16" s="487"/>
      <c r="G16" s="487"/>
    </row>
    <row r="17" spans="1:9" s="183" customFormat="1" ht="15" customHeight="1" x14ac:dyDescent="0.2">
      <c r="A17" s="180" t="s">
        <v>6</v>
      </c>
      <c r="B17" s="181"/>
      <c r="C17" s="222" t="s">
        <v>1963</v>
      </c>
      <c r="D17" s="483">
        <f>SUM(D18:D21)</f>
        <v>20643</v>
      </c>
      <c r="E17" s="483">
        <f>SUM(E18:E21)</f>
        <v>0</v>
      </c>
      <c r="F17" s="483">
        <f>SUM(F18:F21)</f>
        <v>0</v>
      </c>
      <c r="G17" s="483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1964</v>
      </c>
      <c r="D18" s="485">
        <v>20643</v>
      </c>
      <c r="E18" s="485"/>
      <c r="F18" s="485"/>
      <c r="G18" s="485" t="e">
        <f>F18/E18*100</f>
        <v>#DIV/0!</v>
      </c>
    </row>
    <row r="19" spans="1:9" s="187" customFormat="1" ht="15" customHeight="1" x14ac:dyDescent="0.2">
      <c r="A19" s="184"/>
      <c r="B19" s="185" t="s">
        <v>9</v>
      </c>
      <c r="C19" s="15" t="s">
        <v>1965</v>
      </c>
      <c r="D19" s="485"/>
      <c r="E19" s="485"/>
      <c r="F19" s="485"/>
      <c r="G19" s="485"/>
    </row>
    <row r="20" spans="1:9" s="187" customFormat="1" ht="15" customHeight="1" x14ac:dyDescent="0.2">
      <c r="A20" s="184"/>
      <c r="B20" s="185" t="s">
        <v>11</v>
      </c>
      <c r="C20" s="15" t="s">
        <v>802</v>
      </c>
      <c r="D20" s="485"/>
      <c r="E20" s="485"/>
      <c r="F20" s="485"/>
      <c r="G20" s="485"/>
    </row>
    <row r="21" spans="1:9" s="187" customFormat="1" ht="15" customHeight="1" x14ac:dyDescent="0.2">
      <c r="A21" s="184"/>
      <c r="B21" s="185" t="s">
        <v>13</v>
      </c>
      <c r="C21" s="15" t="s">
        <v>803</v>
      </c>
      <c r="D21" s="485"/>
      <c r="E21" s="485"/>
      <c r="F21" s="485"/>
      <c r="G21" s="485"/>
    </row>
    <row r="22" spans="1:9" s="187" customFormat="1" ht="15" customHeight="1" x14ac:dyDescent="0.2">
      <c r="A22" s="180" t="s">
        <v>20</v>
      </c>
      <c r="B22" s="12"/>
      <c r="C22" s="12" t="s">
        <v>804</v>
      </c>
      <c r="D22" s="488"/>
      <c r="E22" s="488"/>
      <c r="F22" s="488"/>
      <c r="G22" s="488"/>
    </row>
    <row r="23" spans="1:9" s="187" customFormat="1" ht="15" customHeight="1" x14ac:dyDescent="0.2">
      <c r="A23" s="180" t="s">
        <v>150</v>
      </c>
      <c r="B23" s="12"/>
      <c r="C23" s="12" t="s">
        <v>805</v>
      </c>
      <c r="D23" s="485"/>
      <c r="E23" s="485"/>
      <c r="F23" s="485"/>
      <c r="G23" s="485"/>
    </row>
    <row r="24" spans="1:9" s="183" customFormat="1" ht="15" customHeight="1" x14ac:dyDescent="0.2">
      <c r="A24" s="180" t="s">
        <v>39</v>
      </c>
      <c r="B24" s="181"/>
      <c r="C24" s="12" t="s">
        <v>806</v>
      </c>
      <c r="D24" s="485"/>
      <c r="E24" s="485"/>
      <c r="F24" s="485"/>
      <c r="G24" s="485"/>
    </row>
    <row r="25" spans="1:9" s="183" customFormat="1" ht="15" customHeight="1" x14ac:dyDescent="0.2">
      <c r="A25" s="180" t="s">
        <v>49</v>
      </c>
      <c r="B25" s="209"/>
      <c r="C25" s="12" t="s">
        <v>807</v>
      </c>
      <c r="D25" s="489">
        <f>+D26+D27</f>
        <v>0</v>
      </c>
      <c r="E25" s="489">
        <f>+E26+E27</f>
        <v>0</v>
      </c>
      <c r="F25" s="489">
        <f>+F26+F27</f>
        <v>0</v>
      </c>
      <c r="G25" s="489"/>
    </row>
    <row r="26" spans="1:9" s="183" customFormat="1" ht="15" customHeight="1" x14ac:dyDescent="0.2">
      <c r="A26" s="192"/>
      <c r="B26" s="199" t="s">
        <v>50</v>
      </c>
      <c r="C26" s="19" t="s">
        <v>808</v>
      </c>
      <c r="D26" s="485"/>
      <c r="E26" s="485"/>
      <c r="F26" s="485"/>
      <c r="G26" s="485"/>
    </row>
    <row r="27" spans="1:9" s="183" customFormat="1" ht="15" customHeight="1" x14ac:dyDescent="0.2">
      <c r="A27" s="202"/>
      <c r="B27" s="203" t="s">
        <v>63</v>
      </c>
      <c r="C27" s="24" t="s">
        <v>809</v>
      </c>
      <c r="D27" s="485"/>
      <c r="E27" s="485"/>
      <c r="F27" s="485"/>
      <c r="G27" s="485"/>
    </row>
    <row r="28" spans="1:9" s="187" customFormat="1" ht="15" customHeight="1" x14ac:dyDescent="0.25">
      <c r="A28" s="212" t="s">
        <v>179</v>
      </c>
      <c r="B28" s="213"/>
      <c r="C28" s="12" t="s">
        <v>282</v>
      </c>
      <c r="D28" s="485">
        <v>23486</v>
      </c>
      <c r="E28" s="485"/>
      <c r="F28" s="485"/>
      <c r="G28" s="485" t="e">
        <f>F28/E28*100</f>
        <v>#DIV/0!</v>
      </c>
      <c r="I28" s="201">
        <f>SUM(D46-D30)</f>
        <v>0</v>
      </c>
    </row>
    <row r="29" spans="1:9" s="187" customFormat="1" ht="15" customHeight="1" x14ac:dyDescent="0.25">
      <c r="A29" s="212"/>
      <c r="B29" s="213"/>
      <c r="C29" s="12" t="s">
        <v>810</v>
      </c>
      <c r="D29" s="220"/>
      <c r="E29" s="220"/>
      <c r="F29" s="220"/>
      <c r="G29" s="220"/>
    </row>
    <row r="30" spans="1:9" s="187" customFormat="1" ht="15.75" customHeight="1" x14ac:dyDescent="0.2">
      <c r="A30" s="268" t="s">
        <v>75</v>
      </c>
      <c r="B30" s="269"/>
      <c r="C30" s="480" t="s">
        <v>811</v>
      </c>
      <c r="D30" s="270">
        <f>SUM(D8,D17,D22,D23,D24,D25,D28)</f>
        <v>44129</v>
      </c>
      <c r="E30" s="270">
        <f>SUM(E8,E17,E22,E23,E24,E25,E28,E29)</f>
        <v>0</v>
      </c>
      <c r="F30" s="270">
        <f>SUM(F8,F17,F22,F23,F24,F25,F28,F29)</f>
        <v>0</v>
      </c>
      <c r="G30" s="270" t="e">
        <f>F30/E30*100</f>
        <v>#DIV/0!</v>
      </c>
    </row>
    <row r="31" spans="1:9" s="187" customFormat="1" ht="15" customHeight="1" x14ac:dyDescent="0.2">
      <c r="A31" s="490"/>
      <c r="B31" s="490"/>
      <c r="C31" s="491"/>
      <c r="D31" s="492"/>
      <c r="E31" s="492"/>
      <c r="F31" s="492"/>
      <c r="G31" s="492"/>
    </row>
    <row r="32" spans="1:9" s="175" customFormat="1" ht="15" customHeight="1" x14ac:dyDescent="0.2">
      <c r="A32" s="476"/>
      <c r="B32" s="477"/>
      <c r="C32" s="477" t="s">
        <v>199</v>
      </c>
      <c r="D32" s="478"/>
      <c r="E32" s="478"/>
      <c r="F32" s="478"/>
      <c r="G32" s="478"/>
    </row>
    <row r="33" spans="1:7" s="232" customFormat="1" ht="15" customHeight="1" x14ac:dyDescent="0.2">
      <c r="A33" s="170" t="s">
        <v>5</v>
      </c>
      <c r="B33" s="493"/>
      <c r="C33" s="494" t="s">
        <v>826</v>
      </c>
      <c r="D33" s="483">
        <f>SUM(D34:D38)</f>
        <v>44129</v>
      </c>
      <c r="E33" s="483">
        <f>SUM(E34:E38)</f>
        <v>0</v>
      </c>
      <c r="F33" s="483">
        <f>SUM(F34:F38)</f>
        <v>0</v>
      </c>
      <c r="G33" s="483" t="e">
        <f t="shared" ref="G33:G38" si="0">F33/E33*100</f>
        <v>#DIV/0!</v>
      </c>
    </row>
    <row r="34" spans="1:7" ht="15" customHeight="1" x14ac:dyDescent="0.2">
      <c r="A34" s="495"/>
      <c r="B34" s="496" t="s">
        <v>103</v>
      </c>
      <c r="C34" s="497" t="s">
        <v>104</v>
      </c>
      <c r="D34" s="498">
        <v>13430</v>
      </c>
      <c r="E34" s="498"/>
      <c r="F34" s="498"/>
      <c r="G34" s="498" t="e">
        <f t="shared" si="0"/>
        <v>#DIV/0!</v>
      </c>
    </row>
    <row r="35" spans="1:7" ht="15" customHeight="1" x14ac:dyDescent="0.2">
      <c r="A35" s="499"/>
      <c r="B35" s="500" t="s">
        <v>105</v>
      </c>
      <c r="C35" s="501" t="s">
        <v>106</v>
      </c>
      <c r="D35" s="485">
        <v>3570</v>
      </c>
      <c r="E35" s="485"/>
      <c r="F35" s="485"/>
      <c r="G35" s="485" t="e">
        <f t="shared" si="0"/>
        <v>#DIV/0!</v>
      </c>
    </row>
    <row r="36" spans="1:7" ht="15" customHeight="1" x14ac:dyDescent="0.2">
      <c r="A36" s="499"/>
      <c r="B36" s="500" t="s">
        <v>107</v>
      </c>
      <c r="C36" s="501" t="s">
        <v>108</v>
      </c>
      <c r="D36" s="485">
        <v>4129</v>
      </c>
      <c r="E36" s="485"/>
      <c r="F36" s="485"/>
      <c r="G36" s="485" t="e">
        <f t="shared" si="0"/>
        <v>#DIV/0!</v>
      </c>
    </row>
    <row r="37" spans="1:7" ht="15" customHeight="1" x14ac:dyDescent="0.2">
      <c r="A37" s="499"/>
      <c r="B37" s="500" t="s">
        <v>109</v>
      </c>
      <c r="C37" s="15" t="s">
        <v>283</v>
      </c>
      <c r="D37" s="485">
        <v>23000</v>
      </c>
      <c r="E37" s="485"/>
      <c r="F37" s="485"/>
      <c r="G37" s="485" t="e">
        <f t="shared" si="0"/>
        <v>#DIV/0!</v>
      </c>
    </row>
    <row r="38" spans="1:7" ht="15" customHeight="1" x14ac:dyDescent="0.2">
      <c r="A38" s="499"/>
      <c r="B38" s="500" t="s">
        <v>111</v>
      </c>
      <c r="C38" s="501" t="s">
        <v>112</v>
      </c>
      <c r="D38" s="485"/>
      <c r="E38" s="485"/>
      <c r="F38" s="485"/>
      <c r="G38" s="485" t="e">
        <f t="shared" si="0"/>
        <v>#DIV/0!</v>
      </c>
    </row>
    <row r="39" spans="1:7" ht="15" customHeight="1" x14ac:dyDescent="0.2">
      <c r="A39" s="170" t="s">
        <v>6</v>
      </c>
      <c r="B39" s="493"/>
      <c r="C39" s="494" t="s">
        <v>827</v>
      </c>
      <c r="D39" s="483">
        <f>SUM(D40:D43)</f>
        <v>0</v>
      </c>
      <c r="E39" s="483">
        <f>SUM(E40:E43)</f>
        <v>0</v>
      </c>
      <c r="F39" s="483">
        <f>SUM(F40:F43)</f>
        <v>0</v>
      </c>
      <c r="G39" s="483"/>
    </row>
    <row r="40" spans="1:7" s="232" customFormat="1" ht="15" customHeight="1" x14ac:dyDescent="0.2">
      <c r="A40" s="495"/>
      <c r="B40" s="496" t="s">
        <v>7</v>
      </c>
      <c r="C40" s="497" t="s">
        <v>816</v>
      </c>
      <c r="D40" s="498"/>
      <c r="E40" s="498"/>
      <c r="F40" s="498"/>
      <c r="G40" s="498"/>
    </row>
    <row r="41" spans="1:7" ht="15" customHeight="1" x14ac:dyDescent="0.2">
      <c r="A41" s="499"/>
      <c r="B41" s="500" t="s">
        <v>9</v>
      </c>
      <c r="C41" s="501" t="s">
        <v>135</v>
      </c>
      <c r="D41" s="485"/>
      <c r="E41" s="485"/>
      <c r="F41" s="485"/>
      <c r="G41" s="485"/>
    </row>
    <row r="42" spans="1:7" ht="32.25" customHeight="1" x14ac:dyDescent="0.2">
      <c r="A42" s="499"/>
      <c r="B42" s="500" t="s">
        <v>15</v>
      </c>
      <c r="C42" s="501" t="s">
        <v>138</v>
      </c>
      <c r="D42" s="485"/>
      <c r="E42" s="485"/>
      <c r="F42" s="485"/>
      <c r="G42" s="485"/>
    </row>
    <row r="43" spans="1:7" ht="15" customHeight="1" x14ac:dyDescent="0.2">
      <c r="A43" s="499"/>
      <c r="B43" s="500" t="s">
        <v>19</v>
      </c>
      <c r="C43" s="501" t="s">
        <v>817</v>
      </c>
      <c r="D43" s="485"/>
      <c r="E43" s="485"/>
      <c r="F43" s="485"/>
      <c r="G43" s="485"/>
    </row>
    <row r="44" spans="1:7" ht="15" customHeight="1" x14ac:dyDescent="0.2">
      <c r="A44" s="170" t="s">
        <v>20</v>
      </c>
      <c r="B44" s="493"/>
      <c r="C44" s="494" t="s">
        <v>818</v>
      </c>
      <c r="D44" s="488"/>
      <c r="E44" s="488"/>
      <c r="F44" s="488"/>
      <c r="G44" s="488"/>
    </row>
    <row r="45" spans="1:7" s="187" customFormat="1" ht="15" customHeight="1" x14ac:dyDescent="0.2">
      <c r="A45" s="180"/>
      <c r="B45" s="12"/>
      <c r="C45" s="67" t="s">
        <v>819</v>
      </c>
      <c r="D45" s="220"/>
      <c r="E45" s="220"/>
      <c r="F45" s="220"/>
      <c r="G45" s="220"/>
    </row>
    <row r="46" spans="1:7" ht="15" customHeight="1" x14ac:dyDescent="0.2">
      <c r="A46" s="268" t="s">
        <v>150</v>
      </c>
      <c r="B46" s="269"/>
      <c r="C46" s="480" t="s">
        <v>820</v>
      </c>
      <c r="D46" s="270">
        <f>+D33+D39+D44</f>
        <v>44129</v>
      </c>
      <c r="E46" s="270">
        <f>+E33+E39+E44+E45</f>
        <v>0</v>
      </c>
      <c r="F46" s="270">
        <f>+F33+F39+F44+F45</f>
        <v>0</v>
      </c>
      <c r="G46" s="270" t="e">
        <f>F46/E46*100</f>
        <v>#DIV/0!</v>
      </c>
    </row>
    <row r="47" spans="1:7" ht="15" customHeight="1" x14ac:dyDescent="0.2">
      <c r="A47" s="502"/>
      <c r="B47" s="503"/>
      <c r="C47" s="503"/>
      <c r="D47" s="503"/>
      <c r="E47" s="503"/>
      <c r="F47" s="503"/>
      <c r="G47" s="503"/>
    </row>
    <row r="48" spans="1:7" ht="15" customHeight="1" x14ac:dyDescent="0.2">
      <c r="A48" s="504" t="s">
        <v>297</v>
      </c>
      <c r="B48" s="505"/>
      <c r="C48" s="506"/>
      <c r="D48" s="507">
        <v>3</v>
      </c>
      <c r="E48" s="507"/>
      <c r="F48" s="507"/>
      <c r="G48" s="507"/>
    </row>
    <row r="49" spans="1:7" ht="15" customHeight="1" x14ac:dyDescent="0.2">
      <c r="A49" s="504" t="s">
        <v>298</v>
      </c>
      <c r="B49" s="505"/>
      <c r="C49" s="506"/>
      <c r="D49" s="507"/>
      <c r="E49" s="507"/>
      <c r="F49" s="507"/>
      <c r="G49" s="507"/>
    </row>
  </sheetData>
  <sheetProtection selectLockedCells="1" selectUnlockedCells="1"/>
  <mergeCells count="5">
    <mergeCell ref="D1:G1"/>
    <mergeCell ref="A2:B2"/>
    <mergeCell ref="A3:B3"/>
    <mergeCell ref="D4:F4"/>
    <mergeCell ref="A5:B5"/>
  </mergeCells>
  <printOptions horizontalCentered="1"/>
  <pageMargins left="0.23622047244094491" right="0.27559055118110237" top="0.27559055118110237" bottom="0.47244094488188981" header="0.15748031496062992" footer="0.23622047244094491"/>
  <pageSetup paperSize="9" scale="95" firstPageNumber="63" orientation="portrait" useFirstPageNumber="1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B10" zoomScaleNormal="130" workbookViewId="0">
      <selection activeCell="C17" sqref="C17:C19"/>
    </sheetView>
  </sheetViews>
  <sheetFormatPr defaultRowHeight="12.75" x14ac:dyDescent="0.2"/>
  <cols>
    <col min="1" max="1" width="9.6640625" style="161" customWidth="1"/>
    <col min="2" max="2" width="6.83203125" style="162" customWidth="1"/>
    <col min="3" max="3" width="68.5" style="162" customWidth="1"/>
    <col min="4" max="4" width="18.5" style="162" customWidth="1"/>
    <col min="5" max="6" width="15.6640625" style="162" hidden="1" customWidth="1"/>
    <col min="7" max="7" width="10.5" style="162" hidden="1" customWidth="1"/>
    <col min="8" max="16384" width="9.33203125" style="162"/>
  </cols>
  <sheetData>
    <row r="1" spans="1:7" s="449" customFormat="1" ht="21" customHeight="1" x14ac:dyDescent="0.2">
      <c r="A1" s="508"/>
      <c r="B1" s="509"/>
      <c r="C1" s="510"/>
      <c r="D1" s="1609" t="s">
        <v>828</v>
      </c>
      <c r="E1" s="1609"/>
      <c r="F1" s="1609"/>
      <c r="G1" s="1609"/>
    </row>
    <row r="2" spans="1:7" s="165" customFormat="1" ht="27" customHeight="1" x14ac:dyDescent="0.2">
      <c r="A2" s="1613" t="s">
        <v>796</v>
      </c>
      <c r="B2" s="1613"/>
      <c r="C2" s="163" t="s">
        <v>797</v>
      </c>
      <c r="D2" s="511"/>
      <c r="E2" s="511"/>
      <c r="F2" s="511"/>
      <c r="G2" s="511"/>
    </row>
    <row r="3" spans="1:7" s="165" customFormat="1" ht="31.5" customHeight="1" x14ac:dyDescent="0.2">
      <c r="A3" s="1614" t="s">
        <v>264</v>
      </c>
      <c r="B3" s="1614"/>
      <c r="C3" s="166" t="s">
        <v>829</v>
      </c>
      <c r="D3" s="512"/>
      <c r="E3" s="512"/>
      <c r="F3" s="512"/>
      <c r="G3" s="512"/>
    </row>
    <row r="4" spans="1:7" s="169" customFormat="1" ht="15.95" customHeight="1" x14ac:dyDescent="0.25">
      <c r="A4" s="470"/>
      <c r="B4" s="470"/>
      <c r="C4" s="470"/>
      <c r="D4" s="1590"/>
      <c r="E4" s="1590"/>
      <c r="F4" s="1590"/>
      <c r="G4" s="168" t="s">
        <v>196</v>
      </c>
    </row>
    <row r="5" spans="1:7" ht="27" customHeight="1" x14ac:dyDescent="0.2">
      <c r="A5" s="1612" t="s">
        <v>266</v>
      </c>
      <c r="B5" s="1612"/>
      <c r="C5" s="472" t="s">
        <v>267</v>
      </c>
      <c r="D5" s="473" t="s">
        <v>268</v>
      </c>
      <c r="E5" s="473" t="s">
        <v>269</v>
      </c>
      <c r="F5" s="473" t="s">
        <v>270</v>
      </c>
      <c r="G5" s="473" t="s">
        <v>3</v>
      </c>
    </row>
    <row r="6" spans="1:7" s="175" customFormat="1" ht="15" customHeight="1" x14ac:dyDescent="0.2">
      <c r="A6" s="180">
        <v>1</v>
      </c>
      <c r="B6" s="474">
        <v>2</v>
      </c>
      <c r="C6" s="474">
        <v>3</v>
      </c>
      <c r="D6" s="475">
        <v>4</v>
      </c>
      <c r="E6" s="475">
        <v>5</v>
      </c>
      <c r="F6" s="475">
        <v>6</v>
      </c>
      <c r="G6" s="475">
        <v>7</v>
      </c>
    </row>
    <row r="7" spans="1:7" s="175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/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/>
      <c r="E9" s="257"/>
      <c r="F9" s="257"/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/>
      <c r="E10" s="255"/>
      <c r="F10" s="255"/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/>
      <c r="E11" s="255"/>
      <c r="F11" s="255"/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/>
      <c r="E12" s="255"/>
      <c r="F12" s="255"/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/>
      <c r="E13" s="255"/>
      <c r="F13" s="255"/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/>
      <c r="E14" s="256"/>
      <c r="F14" s="256"/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/>
      <c r="E15" s="255"/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/>
      <c r="E16" s="258"/>
      <c r="F16" s="258"/>
      <c r="G16" s="258"/>
    </row>
    <row r="17" spans="1:7" s="183" customFormat="1" ht="15" customHeight="1" x14ac:dyDescent="0.2">
      <c r="A17" s="180" t="s">
        <v>6</v>
      </c>
      <c r="B17" s="181"/>
      <c r="C17" s="222" t="s">
        <v>1963</v>
      </c>
      <c r="D17" s="254">
        <f>SUM(D18:D21)</f>
        <v>0</v>
      </c>
      <c r="E17" s="254">
        <f>SUM(E18:E21)</f>
        <v>0</v>
      </c>
      <c r="F17" s="254">
        <f>SUM(F18:F21)</f>
        <v>0</v>
      </c>
      <c r="G17" s="254"/>
    </row>
    <row r="18" spans="1:7" s="187" customFormat="1" ht="15" customHeight="1" x14ac:dyDescent="0.2">
      <c r="A18" s="184"/>
      <c r="B18" s="185" t="s">
        <v>7</v>
      </c>
      <c r="C18" s="27" t="s">
        <v>1964</v>
      </c>
      <c r="D18" s="255"/>
      <c r="E18" s="255">
        <v>0</v>
      </c>
      <c r="F18" s="255"/>
      <c r="G18" s="255"/>
    </row>
    <row r="19" spans="1:7" s="187" customFormat="1" ht="15" customHeight="1" x14ac:dyDescent="0.2">
      <c r="A19" s="184"/>
      <c r="B19" s="185" t="s">
        <v>9</v>
      </c>
      <c r="C19" s="15" t="s">
        <v>1965</v>
      </c>
      <c r="D19" s="255"/>
      <c r="E19" s="255"/>
      <c r="F19" s="255"/>
      <c r="G19" s="255"/>
    </row>
    <row r="20" spans="1:7" s="187" customFormat="1" ht="15" customHeight="1" x14ac:dyDescent="0.2">
      <c r="A20" s="184"/>
      <c r="B20" s="185" t="s">
        <v>11</v>
      </c>
      <c r="C20" s="15" t="s">
        <v>802</v>
      </c>
      <c r="D20" s="255"/>
      <c r="E20" s="255"/>
      <c r="F20" s="255"/>
      <c r="G20" s="255"/>
    </row>
    <row r="21" spans="1:7" s="187" customFormat="1" ht="15" customHeight="1" x14ac:dyDescent="0.2">
      <c r="A21" s="184"/>
      <c r="B21" s="185" t="s">
        <v>13</v>
      </c>
      <c r="C21" s="15" t="s">
        <v>803</v>
      </c>
      <c r="D21" s="255"/>
      <c r="E21" s="255"/>
      <c r="F21" s="255"/>
      <c r="G21" s="255"/>
    </row>
    <row r="22" spans="1:7" s="187" customFormat="1" ht="15" customHeight="1" x14ac:dyDescent="0.2">
      <c r="A22" s="180" t="s">
        <v>20</v>
      </c>
      <c r="B22" s="12"/>
      <c r="C22" s="12" t="s">
        <v>804</v>
      </c>
      <c r="D22" s="220"/>
      <c r="E22" s="220"/>
      <c r="F22" s="220"/>
      <c r="G22" s="220"/>
    </row>
    <row r="23" spans="1:7" s="187" customFormat="1" ht="15" customHeight="1" x14ac:dyDescent="0.2">
      <c r="A23" s="180" t="s">
        <v>150</v>
      </c>
      <c r="B23" s="12"/>
      <c r="C23" s="12" t="s">
        <v>805</v>
      </c>
      <c r="D23" s="255"/>
      <c r="E23" s="255"/>
      <c r="F23" s="255"/>
      <c r="G23" s="255"/>
    </row>
    <row r="24" spans="1:7" s="183" customFormat="1" ht="15" customHeight="1" x14ac:dyDescent="0.2">
      <c r="A24" s="180" t="s">
        <v>39</v>
      </c>
      <c r="B24" s="181"/>
      <c r="C24" s="12" t="s">
        <v>806</v>
      </c>
      <c r="D24" s="255"/>
      <c r="E24" s="255"/>
      <c r="F24" s="255"/>
      <c r="G24" s="255"/>
    </row>
    <row r="25" spans="1:7" s="183" customFormat="1" ht="15" customHeight="1" x14ac:dyDescent="0.2">
      <c r="A25" s="180" t="s">
        <v>49</v>
      </c>
      <c r="B25" s="209"/>
      <c r="C25" s="12" t="s">
        <v>807</v>
      </c>
      <c r="D25" s="266">
        <f>+D26+D27</f>
        <v>0</v>
      </c>
      <c r="E25" s="266">
        <f>+E26+E27</f>
        <v>0</v>
      </c>
      <c r="F25" s="266">
        <f>+F26+F27</f>
        <v>0</v>
      </c>
      <c r="G25" s="266"/>
    </row>
    <row r="26" spans="1:7" s="183" customFormat="1" ht="15" customHeight="1" x14ac:dyDescent="0.2">
      <c r="A26" s="192"/>
      <c r="B26" s="199" t="s">
        <v>50</v>
      </c>
      <c r="C26" s="19" t="s">
        <v>808</v>
      </c>
      <c r="D26" s="255"/>
      <c r="E26" s="255"/>
      <c r="F26" s="255"/>
      <c r="G26" s="255"/>
    </row>
    <row r="27" spans="1:7" s="183" customFormat="1" ht="15" customHeight="1" x14ac:dyDescent="0.2">
      <c r="A27" s="202"/>
      <c r="B27" s="203" t="s">
        <v>63</v>
      </c>
      <c r="C27" s="24" t="s">
        <v>809</v>
      </c>
      <c r="D27" s="255"/>
      <c r="E27" s="255">
        <v>0</v>
      </c>
      <c r="F27" s="255"/>
      <c r="G27" s="255"/>
    </row>
    <row r="28" spans="1:7" s="187" customFormat="1" ht="15" customHeight="1" x14ac:dyDescent="0.25">
      <c r="A28" s="212" t="s">
        <v>179</v>
      </c>
      <c r="B28" s="213"/>
      <c r="C28" s="12" t="s">
        <v>282</v>
      </c>
      <c r="D28" s="255">
        <v>40297</v>
      </c>
      <c r="E28" s="255"/>
      <c r="F28" s="255"/>
      <c r="G28" s="255" t="e">
        <f>F28/E28*100</f>
        <v>#DIV/0!</v>
      </c>
    </row>
    <row r="29" spans="1:7" s="187" customFormat="1" ht="15" customHeight="1" x14ac:dyDescent="0.25">
      <c r="A29" s="212"/>
      <c r="B29" s="213"/>
      <c r="C29" s="12" t="s">
        <v>810</v>
      </c>
      <c r="D29" s="220"/>
      <c r="E29" s="220"/>
      <c r="F29" s="220"/>
      <c r="G29" s="220"/>
    </row>
    <row r="30" spans="1:7" s="187" customFormat="1" ht="18.75" customHeight="1" x14ac:dyDescent="0.2">
      <c r="A30" s="268" t="s">
        <v>75</v>
      </c>
      <c r="B30" s="269"/>
      <c r="C30" s="480" t="s">
        <v>811</v>
      </c>
      <c r="D30" s="270">
        <f>SUM(D8,D17,D22,D23,D24,D25,D28)</f>
        <v>40297</v>
      </c>
      <c r="E30" s="270">
        <f>SUM(E8,E17,E22,E23,E24,E25,E28,E29)</f>
        <v>0</v>
      </c>
      <c r="F30" s="270">
        <f>SUM(F8,F17,F22,F23,F24,F25,F28,F29)</f>
        <v>0</v>
      </c>
      <c r="G30" s="270" t="e">
        <f>F30/E30*100</f>
        <v>#DIV/0!</v>
      </c>
    </row>
    <row r="31" spans="1:7" s="187" customFormat="1" ht="15" customHeight="1" x14ac:dyDescent="0.2">
      <c r="A31" s="462"/>
      <c r="B31" s="462"/>
      <c r="C31" s="481"/>
      <c r="D31" s="514"/>
      <c r="E31" s="514"/>
      <c r="F31" s="514"/>
      <c r="G31" s="514"/>
    </row>
    <row r="32" spans="1:7" s="175" customFormat="1" ht="15" customHeight="1" x14ac:dyDescent="0.2">
      <c r="A32" s="268"/>
      <c r="B32" s="269"/>
      <c r="C32" s="513" t="s">
        <v>199</v>
      </c>
      <c r="D32" s="270"/>
      <c r="E32" s="270"/>
      <c r="F32" s="270"/>
      <c r="G32" s="270"/>
    </row>
    <row r="33" spans="1:7" s="232" customFormat="1" ht="15" customHeight="1" x14ac:dyDescent="0.2">
      <c r="A33" s="180" t="s">
        <v>5</v>
      </c>
      <c r="B33" s="12"/>
      <c r="C33" s="67" t="s">
        <v>102</v>
      </c>
      <c r="D33" s="254">
        <f>SUM(D34:D38)</f>
        <v>40297</v>
      </c>
      <c r="E33" s="254">
        <f>SUM(E34:E38)</f>
        <v>0</v>
      </c>
      <c r="F33" s="254">
        <f>SUM(F34:F38)</f>
        <v>0</v>
      </c>
      <c r="G33" s="254" t="e">
        <f>F33/E33*100</f>
        <v>#DIV/0!</v>
      </c>
    </row>
    <row r="34" spans="1:7" ht="15" customHeight="1" x14ac:dyDescent="0.2">
      <c r="A34" s="204"/>
      <c r="B34" s="231" t="s">
        <v>103</v>
      </c>
      <c r="C34" s="27" t="s">
        <v>104</v>
      </c>
      <c r="D34" s="262">
        <v>24899</v>
      </c>
      <c r="E34" s="262"/>
      <c r="F34" s="262"/>
      <c r="G34" s="262" t="e">
        <f>F34/E34*100</f>
        <v>#DIV/0!</v>
      </c>
    </row>
    <row r="35" spans="1:7" ht="15" customHeight="1" x14ac:dyDescent="0.2">
      <c r="A35" s="184"/>
      <c r="B35" s="200" t="s">
        <v>105</v>
      </c>
      <c r="C35" s="15" t="s">
        <v>106</v>
      </c>
      <c r="D35" s="255">
        <v>6723</v>
      </c>
      <c r="E35" s="255"/>
      <c r="F35" s="255"/>
      <c r="G35" s="255" t="e">
        <f>F35/E35*100</f>
        <v>#DIV/0!</v>
      </c>
    </row>
    <row r="36" spans="1:7" ht="15" customHeight="1" x14ac:dyDescent="0.2">
      <c r="A36" s="184"/>
      <c r="B36" s="200" t="s">
        <v>107</v>
      </c>
      <c r="C36" s="15" t="s">
        <v>108</v>
      </c>
      <c r="D36" s="255">
        <v>8675</v>
      </c>
      <c r="E36" s="255"/>
      <c r="F36" s="255"/>
      <c r="G36" s="255" t="e">
        <f>F36/E36*100</f>
        <v>#DIV/0!</v>
      </c>
    </row>
    <row r="37" spans="1:7" ht="15" customHeight="1" x14ac:dyDescent="0.2">
      <c r="A37" s="184"/>
      <c r="B37" s="200" t="s">
        <v>109</v>
      </c>
      <c r="C37" s="15" t="s">
        <v>110</v>
      </c>
      <c r="D37" s="255"/>
      <c r="E37" s="255"/>
      <c r="F37" s="255"/>
      <c r="G37" s="255"/>
    </row>
    <row r="38" spans="1:7" ht="15" customHeight="1" x14ac:dyDescent="0.2">
      <c r="A38" s="184"/>
      <c r="B38" s="200" t="s">
        <v>111</v>
      </c>
      <c r="C38" s="15" t="s">
        <v>112</v>
      </c>
      <c r="D38" s="255"/>
      <c r="E38" s="255"/>
      <c r="F38" s="255"/>
      <c r="G38" s="255"/>
    </row>
    <row r="39" spans="1:7" ht="15" customHeight="1" x14ac:dyDescent="0.2">
      <c r="A39" s="180" t="s">
        <v>6</v>
      </c>
      <c r="B39" s="12"/>
      <c r="C39" s="67" t="s">
        <v>823</v>
      </c>
      <c r="D39" s="254">
        <f>SUM(D40:D43)</f>
        <v>0</v>
      </c>
      <c r="E39" s="254">
        <f>SUM(E40:E43)</f>
        <v>0</v>
      </c>
      <c r="F39" s="254">
        <f>SUM(F40:F43)</f>
        <v>0</v>
      </c>
      <c r="G39" s="254"/>
    </row>
    <row r="40" spans="1:7" s="232" customFormat="1" ht="15" customHeight="1" x14ac:dyDescent="0.2">
      <c r="A40" s="204"/>
      <c r="B40" s="231" t="s">
        <v>7</v>
      </c>
      <c r="C40" s="27" t="s">
        <v>816</v>
      </c>
      <c r="D40" s="262"/>
      <c r="E40" s="262"/>
      <c r="F40" s="262"/>
      <c r="G40" s="262"/>
    </row>
    <row r="41" spans="1:7" ht="15" customHeight="1" x14ac:dyDescent="0.2">
      <c r="A41" s="184"/>
      <c r="B41" s="200" t="s">
        <v>9</v>
      </c>
      <c r="C41" s="15" t="s">
        <v>135</v>
      </c>
      <c r="D41" s="255"/>
      <c r="E41" s="255"/>
      <c r="F41" s="255"/>
      <c r="G41" s="255"/>
    </row>
    <row r="42" spans="1:7" ht="30.75" customHeight="1" x14ac:dyDescent="0.2">
      <c r="A42" s="184"/>
      <c r="B42" s="200" t="s">
        <v>15</v>
      </c>
      <c r="C42" s="15" t="s">
        <v>138</v>
      </c>
      <c r="D42" s="255"/>
      <c r="E42" s="255"/>
      <c r="F42" s="255"/>
      <c r="G42" s="255"/>
    </row>
    <row r="43" spans="1:7" ht="15" customHeight="1" x14ac:dyDescent="0.2">
      <c r="A43" s="184"/>
      <c r="B43" s="200" t="s">
        <v>19</v>
      </c>
      <c r="C43" s="15" t="s">
        <v>817</v>
      </c>
      <c r="D43" s="255"/>
      <c r="E43" s="255"/>
      <c r="F43" s="255"/>
      <c r="G43" s="255"/>
    </row>
    <row r="44" spans="1:7" ht="15" customHeight="1" x14ac:dyDescent="0.2">
      <c r="A44" s="180" t="s">
        <v>20</v>
      </c>
      <c r="B44" s="12"/>
      <c r="C44" s="67" t="s">
        <v>818</v>
      </c>
      <c r="D44" s="220"/>
      <c r="E44" s="220"/>
      <c r="F44" s="220"/>
      <c r="G44" s="220"/>
    </row>
    <row r="45" spans="1:7" s="187" customFormat="1" ht="15" customHeight="1" x14ac:dyDescent="0.2">
      <c r="A45" s="180"/>
      <c r="B45" s="12"/>
      <c r="C45" s="67" t="s">
        <v>819</v>
      </c>
      <c r="D45" s="220"/>
      <c r="E45" s="220"/>
      <c r="F45" s="220"/>
      <c r="G45" s="220"/>
    </row>
    <row r="46" spans="1:7" s="515" customFormat="1" ht="15" customHeight="1" x14ac:dyDescent="0.2">
      <c r="A46" s="268" t="s">
        <v>150</v>
      </c>
      <c r="B46" s="269"/>
      <c r="C46" s="480" t="s">
        <v>820</v>
      </c>
      <c r="D46" s="270">
        <f>+D33+D39+D44</f>
        <v>40297</v>
      </c>
      <c r="E46" s="270">
        <f>+E33+E39+E44+E45</f>
        <v>0</v>
      </c>
      <c r="F46" s="270">
        <f>+F33+F39+F44+F45</f>
        <v>0</v>
      </c>
      <c r="G46" s="270" t="e">
        <f>F46/E46*100</f>
        <v>#DIV/0!</v>
      </c>
    </row>
    <row r="47" spans="1:7" ht="15" customHeight="1" x14ac:dyDescent="0.2">
      <c r="A47" s="242"/>
      <c r="B47" s="243"/>
      <c r="C47" s="243"/>
      <c r="D47" s="243"/>
      <c r="E47" s="243"/>
      <c r="F47" s="243"/>
      <c r="G47" s="243"/>
    </row>
    <row r="48" spans="1:7" ht="15" customHeight="1" x14ac:dyDescent="0.2">
      <c r="A48" s="244" t="s">
        <v>297</v>
      </c>
      <c r="B48" s="245"/>
      <c r="C48" s="246"/>
      <c r="D48" s="482">
        <v>0</v>
      </c>
      <c r="E48" s="482">
        <v>0</v>
      </c>
      <c r="F48" s="482">
        <v>0</v>
      </c>
      <c r="G48" s="482"/>
    </row>
    <row r="49" spans="1:7" ht="15" customHeight="1" x14ac:dyDescent="0.2">
      <c r="A49" s="244" t="s">
        <v>298</v>
      </c>
      <c r="B49" s="245"/>
      <c r="C49" s="246"/>
      <c r="D49" s="482"/>
      <c r="E49" s="482"/>
      <c r="F49" s="482"/>
      <c r="G49" s="482"/>
    </row>
  </sheetData>
  <sheetProtection selectLockedCells="1" selectUnlockedCells="1"/>
  <mergeCells count="5">
    <mergeCell ref="D1:G1"/>
    <mergeCell ref="A2:B2"/>
    <mergeCell ref="A3:B3"/>
    <mergeCell ref="D4:F4"/>
    <mergeCell ref="A5:B5"/>
  </mergeCells>
  <printOptions horizontalCentered="1"/>
  <pageMargins left="0.35433070866141736" right="0.23622047244094491" top="0.43307086614173229" bottom="0.39370078740157483" header="0.23622047244094491" footer="0.15748031496062992"/>
  <pageSetup paperSize="9" scale="95" firstPageNumber="64" orientation="portrait" useFirstPageNumber="1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view="pageBreakPreview" topLeftCell="B13" zoomScaleNormal="130" workbookViewId="0">
      <selection activeCell="D29" sqref="D29"/>
    </sheetView>
  </sheetViews>
  <sheetFormatPr defaultRowHeight="12.75" x14ac:dyDescent="0.2"/>
  <cols>
    <col min="1" max="1" width="7.5" style="161" customWidth="1"/>
    <col min="2" max="2" width="8.83203125" style="162" customWidth="1"/>
    <col min="3" max="3" width="68" style="162" customWidth="1"/>
    <col min="4" max="4" width="18.5" style="162" customWidth="1"/>
    <col min="5" max="6" width="14.5" style="162" hidden="1" customWidth="1"/>
    <col min="7" max="7" width="10.6640625" style="162" hidden="1" customWidth="1"/>
    <col min="8" max="16384" width="9.33203125" style="162"/>
  </cols>
  <sheetData>
    <row r="1" spans="1:7" s="449" customFormat="1" ht="21" customHeight="1" x14ac:dyDescent="0.2">
      <c r="A1" s="446"/>
      <c r="B1" s="447"/>
      <c r="C1" s="468"/>
      <c r="D1" s="1609" t="s">
        <v>830</v>
      </c>
      <c r="E1" s="1609"/>
      <c r="F1" s="1609"/>
      <c r="G1" s="1609"/>
    </row>
    <row r="2" spans="1:7" s="165" customFormat="1" ht="27.75" customHeight="1" x14ac:dyDescent="0.2">
      <c r="A2" s="1573" t="s">
        <v>796</v>
      </c>
      <c r="B2" s="1573"/>
      <c r="C2" s="163" t="s">
        <v>797</v>
      </c>
      <c r="D2" s="469"/>
      <c r="E2" s="469"/>
      <c r="F2" s="469"/>
      <c r="G2" s="469"/>
    </row>
    <row r="3" spans="1:7" s="165" customFormat="1" ht="32.25" customHeight="1" x14ac:dyDescent="0.2">
      <c r="A3" s="1571" t="s">
        <v>264</v>
      </c>
      <c r="B3" s="1571"/>
      <c r="C3" s="166" t="s">
        <v>831</v>
      </c>
      <c r="D3" s="450"/>
      <c r="E3" s="450"/>
      <c r="F3" s="450"/>
      <c r="G3" s="450"/>
    </row>
    <row r="4" spans="1:7" s="169" customFormat="1" ht="15" customHeight="1" x14ac:dyDescent="0.2">
      <c r="A4" s="470"/>
      <c r="B4" s="470"/>
      <c r="C4" s="470"/>
      <c r="D4" s="1611"/>
      <c r="E4" s="1611"/>
      <c r="F4" s="1611"/>
      <c r="G4" s="471" t="s">
        <v>196</v>
      </c>
    </row>
    <row r="5" spans="1:7" ht="33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175" customFormat="1" ht="15" customHeight="1" x14ac:dyDescent="0.2">
      <c r="A6" s="180">
        <v>1</v>
      </c>
      <c r="B6" s="474">
        <v>2</v>
      </c>
      <c r="C6" s="474">
        <v>3</v>
      </c>
      <c r="D6" s="475">
        <v>4</v>
      </c>
      <c r="E6" s="475">
        <v>5</v>
      </c>
      <c r="F6" s="475">
        <v>6</v>
      </c>
      <c r="G6" s="475">
        <v>7</v>
      </c>
    </row>
    <row r="7" spans="1:7" s="175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/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/>
      <c r="E9" s="257"/>
      <c r="F9" s="257"/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/>
      <c r="E10" s="255"/>
      <c r="F10" s="255"/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/>
      <c r="E11" s="255"/>
      <c r="F11" s="255"/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/>
      <c r="E12" s="255"/>
      <c r="F12" s="255"/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/>
      <c r="E13" s="255"/>
      <c r="F13" s="255"/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/>
      <c r="E14" s="256"/>
      <c r="F14" s="256"/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/>
      <c r="E15" s="255"/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/>
      <c r="E16" s="258"/>
      <c r="F16" s="258"/>
      <c r="G16" s="258"/>
    </row>
    <row r="17" spans="1:10" s="183" customFormat="1" ht="15" customHeight="1" x14ac:dyDescent="0.2">
      <c r="A17" s="180" t="s">
        <v>6</v>
      </c>
      <c r="B17" s="181"/>
      <c r="C17" s="222" t="s">
        <v>1963</v>
      </c>
      <c r="D17" s="254">
        <f>SUM(D18:D21)</f>
        <v>948</v>
      </c>
      <c r="E17" s="254">
        <f>SUM(E18:E21)</f>
        <v>0</v>
      </c>
      <c r="F17" s="254">
        <f>SUM(F18:F21)</f>
        <v>0</v>
      </c>
      <c r="G17" s="254" t="e">
        <f>F17/E17*100</f>
        <v>#DIV/0!</v>
      </c>
    </row>
    <row r="18" spans="1:10" s="187" customFormat="1" ht="15" customHeight="1" x14ac:dyDescent="0.2">
      <c r="A18" s="184"/>
      <c r="B18" s="185" t="s">
        <v>7</v>
      </c>
      <c r="C18" s="27" t="s">
        <v>1964</v>
      </c>
      <c r="D18" s="255">
        <v>948</v>
      </c>
      <c r="E18" s="255"/>
      <c r="F18" s="255"/>
      <c r="G18" s="255" t="e">
        <f>F18/E18*100</f>
        <v>#DIV/0!</v>
      </c>
    </row>
    <row r="19" spans="1:10" s="187" customFormat="1" ht="15" customHeight="1" x14ac:dyDescent="0.2">
      <c r="A19" s="184"/>
      <c r="B19" s="185" t="s">
        <v>9</v>
      </c>
      <c r="C19" s="15" t="s">
        <v>1965</v>
      </c>
      <c r="D19" s="255"/>
      <c r="E19" s="255"/>
      <c r="F19" s="255"/>
      <c r="G19" s="255"/>
    </row>
    <row r="20" spans="1:10" s="187" customFormat="1" ht="15" customHeight="1" x14ac:dyDescent="0.2">
      <c r="A20" s="184"/>
      <c r="B20" s="185" t="s">
        <v>11</v>
      </c>
      <c r="C20" s="15" t="s">
        <v>802</v>
      </c>
      <c r="D20" s="255"/>
      <c r="E20" s="255"/>
      <c r="F20" s="255"/>
      <c r="G20" s="255"/>
    </row>
    <row r="21" spans="1:10" s="187" customFormat="1" ht="15" customHeight="1" x14ac:dyDescent="0.2">
      <c r="A21" s="184"/>
      <c r="B21" s="185" t="s">
        <v>13</v>
      </c>
      <c r="C21" s="15" t="s">
        <v>803</v>
      </c>
      <c r="D21" s="255"/>
      <c r="E21" s="255"/>
      <c r="F21" s="255"/>
      <c r="G21" s="255"/>
    </row>
    <row r="22" spans="1:10" s="187" customFormat="1" ht="15" customHeight="1" x14ac:dyDescent="0.2">
      <c r="A22" s="180" t="s">
        <v>20</v>
      </c>
      <c r="B22" s="12"/>
      <c r="C22" s="12" t="s">
        <v>804</v>
      </c>
      <c r="D22" s="220"/>
      <c r="E22" s="220"/>
      <c r="F22" s="220"/>
      <c r="G22" s="220"/>
    </row>
    <row r="23" spans="1:10" s="187" customFormat="1" ht="15" customHeight="1" x14ac:dyDescent="0.2">
      <c r="A23" s="180" t="s">
        <v>150</v>
      </c>
      <c r="B23" s="12"/>
      <c r="C23" s="12" t="s">
        <v>805</v>
      </c>
      <c r="D23" s="255"/>
      <c r="E23" s="255"/>
      <c r="F23" s="255"/>
      <c r="G23" s="255"/>
    </row>
    <row r="24" spans="1:10" s="183" customFormat="1" ht="15" customHeight="1" x14ac:dyDescent="0.2">
      <c r="A24" s="180" t="s">
        <v>39</v>
      </c>
      <c r="B24" s="181"/>
      <c r="C24" s="12" t="s">
        <v>806</v>
      </c>
      <c r="D24" s="255"/>
      <c r="E24" s="255"/>
      <c r="F24" s="255"/>
      <c r="G24" s="255"/>
    </row>
    <row r="25" spans="1:10" s="183" customFormat="1" ht="15" customHeight="1" x14ac:dyDescent="0.2">
      <c r="A25" s="180" t="s">
        <v>49</v>
      </c>
      <c r="B25" s="209"/>
      <c r="C25" s="12" t="s">
        <v>807</v>
      </c>
      <c r="D25" s="266">
        <f>+D26+D27</f>
        <v>0</v>
      </c>
      <c r="E25" s="266">
        <f>+E26+E27</f>
        <v>0</v>
      </c>
      <c r="F25" s="266">
        <f>+F26+F27</f>
        <v>0</v>
      </c>
      <c r="G25" s="266"/>
    </row>
    <row r="26" spans="1:10" s="183" customFormat="1" ht="15" customHeight="1" x14ac:dyDescent="0.2">
      <c r="A26" s="192"/>
      <c r="B26" s="199" t="s">
        <v>50</v>
      </c>
      <c r="C26" s="19" t="s">
        <v>808</v>
      </c>
      <c r="D26" s="255"/>
      <c r="E26" s="255"/>
      <c r="F26" s="255"/>
      <c r="G26" s="255"/>
    </row>
    <row r="27" spans="1:10" s="183" customFormat="1" ht="15" customHeight="1" x14ac:dyDescent="0.2">
      <c r="A27" s="202"/>
      <c r="B27" s="203" t="s">
        <v>63</v>
      </c>
      <c r="C27" s="24" t="s">
        <v>809</v>
      </c>
      <c r="D27" s="255"/>
      <c r="E27" s="255"/>
      <c r="F27" s="255"/>
      <c r="G27" s="255"/>
    </row>
    <row r="28" spans="1:10" s="187" customFormat="1" ht="15" customHeight="1" x14ac:dyDescent="0.25">
      <c r="A28" s="212" t="s">
        <v>179</v>
      </c>
      <c r="B28" s="213"/>
      <c r="C28" s="12" t="s">
        <v>282</v>
      </c>
      <c r="D28" s="255">
        <v>14448</v>
      </c>
      <c r="E28" s="255"/>
      <c r="F28" s="255"/>
      <c r="G28" s="255" t="e">
        <f>F28/E28*100</f>
        <v>#DIV/0!</v>
      </c>
      <c r="J28" s="201">
        <f>SUM(D46-D30)</f>
        <v>0</v>
      </c>
    </row>
    <row r="29" spans="1:10" s="187" customFormat="1" ht="15" customHeight="1" x14ac:dyDescent="0.25">
      <c r="A29" s="212"/>
      <c r="B29" s="213"/>
      <c r="C29" s="12" t="s">
        <v>810</v>
      </c>
      <c r="D29" s="220"/>
      <c r="E29" s="220"/>
      <c r="F29" s="220"/>
      <c r="G29" s="220"/>
    </row>
    <row r="30" spans="1:10" s="187" customFormat="1" ht="15" customHeight="1" x14ac:dyDescent="0.2">
      <c r="A30" s="268" t="s">
        <v>75</v>
      </c>
      <c r="B30" s="269"/>
      <c r="C30" s="480" t="s">
        <v>811</v>
      </c>
      <c r="D30" s="270">
        <f>SUM(D8,D17,D22,D23,D24,D25,D28)</f>
        <v>15396</v>
      </c>
      <c r="E30" s="270">
        <f>SUM(E8,E17,E22,E23,E24,E25,E28,E29)</f>
        <v>0</v>
      </c>
      <c r="F30" s="270">
        <f>SUM(F8,F17,F22,F23,F24,F25,F28,F29)</f>
        <v>0</v>
      </c>
      <c r="G30" s="270" t="e">
        <f>F30/E30*100</f>
        <v>#DIV/0!</v>
      </c>
    </row>
    <row r="31" spans="1:10" s="187" customFormat="1" ht="15" customHeight="1" x14ac:dyDescent="0.2">
      <c r="A31" s="462"/>
      <c r="B31" s="462"/>
      <c r="C31" s="481"/>
      <c r="D31" s="514"/>
      <c r="E31" s="514"/>
      <c r="F31" s="514"/>
      <c r="G31" s="514"/>
    </row>
    <row r="32" spans="1:10" s="175" customFormat="1" ht="15" customHeight="1" x14ac:dyDescent="0.2">
      <c r="A32" s="268"/>
      <c r="B32" s="269"/>
      <c r="C32" s="513" t="s">
        <v>199</v>
      </c>
      <c r="D32" s="270"/>
      <c r="E32" s="270"/>
      <c r="F32" s="270"/>
      <c r="G32" s="270"/>
    </row>
    <row r="33" spans="1:7" s="232" customFormat="1" ht="15" customHeight="1" x14ac:dyDescent="0.2">
      <c r="A33" s="180" t="s">
        <v>5</v>
      </c>
      <c r="B33" s="12"/>
      <c r="C33" s="67" t="s">
        <v>102</v>
      </c>
      <c r="D33" s="254">
        <f>SUM(D34:D38)</f>
        <v>15396</v>
      </c>
      <c r="E33" s="254">
        <f>SUM(E34:E38)</f>
        <v>0</v>
      </c>
      <c r="F33" s="254">
        <f>SUM(F34:F38)</f>
        <v>0</v>
      </c>
      <c r="G33" s="254" t="e">
        <f>F33/E33*100</f>
        <v>#DIV/0!</v>
      </c>
    </row>
    <row r="34" spans="1:7" ht="15" customHeight="1" x14ac:dyDescent="0.2">
      <c r="A34" s="204"/>
      <c r="B34" s="231" t="s">
        <v>103</v>
      </c>
      <c r="C34" s="27" t="s">
        <v>104</v>
      </c>
      <c r="D34" s="262">
        <v>8407</v>
      </c>
      <c r="E34" s="262"/>
      <c r="F34" s="262"/>
      <c r="G34" s="262" t="e">
        <f>F34/E34*100</f>
        <v>#DIV/0!</v>
      </c>
    </row>
    <row r="35" spans="1:7" ht="15" customHeight="1" x14ac:dyDescent="0.2">
      <c r="A35" s="184"/>
      <c r="B35" s="200" t="s">
        <v>105</v>
      </c>
      <c r="C35" s="15" t="s">
        <v>106</v>
      </c>
      <c r="D35" s="255">
        <v>2235</v>
      </c>
      <c r="E35" s="255"/>
      <c r="F35" s="255"/>
      <c r="G35" s="255" t="e">
        <f>F35/E35*100</f>
        <v>#DIV/0!</v>
      </c>
    </row>
    <row r="36" spans="1:7" ht="15" customHeight="1" x14ac:dyDescent="0.2">
      <c r="A36" s="184"/>
      <c r="B36" s="200" t="s">
        <v>107</v>
      </c>
      <c r="C36" s="15" t="s">
        <v>108</v>
      </c>
      <c r="D36" s="255">
        <v>4754</v>
      </c>
      <c r="E36" s="255"/>
      <c r="F36" s="255"/>
      <c r="G36" s="255" t="e">
        <f>F36/E36*100</f>
        <v>#DIV/0!</v>
      </c>
    </row>
    <row r="37" spans="1:7" ht="15" customHeight="1" x14ac:dyDescent="0.2">
      <c r="A37" s="184"/>
      <c r="B37" s="200" t="s">
        <v>109</v>
      </c>
      <c r="C37" s="15" t="s">
        <v>110</v>
      </c>
      <c r="D37" s="255"/>
      <c r="E37" s="255"/>
      <c r="F37" s="255"/>
      <c r="G37" s="255"/>
    </row>
    <row r="38" spans="1:7" ht="15" customHeight="1" x14ac:dyDescent="0.2">
      <c r="A38" s="184"/>
      <c r="B38" s="200" t="s">
        <v>111</v>
      </c>
      <c r="C38" s="15" t="s">
        <v>112</v>
      </c>
      <c r="D38" s="255"/>
      <c r="E38" s="255"/>
      <c r="F38" s="255"/>
      <c r="G38" s="255"/>
    </row>
    <row r="39" spans="1:7" ht="15" customHeight="1" x14ac:dyDescent="0.2">
      <c r="A39" s="180" t="s">
        <v>6</v>
      </c>
      <c r="B39" s="12"/>
      <c r="C39" s="67" t="s">
        <v>823</v>
      </c>
      <c r="D39" s="254">
        <f>SUM(D40:D43)</f>
        <v>0</v>
      </c>
      <c r="E39" s="254">
        <f>SUM(E40:E43)</f>
        <v>0</v>
      </c>
      <c r="F39" s="254">
        <f>SUM(F40:F43)</f>
        <v>0</v>
      </c>
      <c r="G39" s="254"/>
    </row>
    <row r="40" spans="1:7" s="232" customFormat="1" ht="15" customHeight="1" x14ac:dyDescent="0.2">
      <c r="A40" s="204"/>
      <c r="B40" s="231" t="s">
        <v>7</v>
      </c>
      <c r="C40" s="27" t="s">
        <v>816</v>
      </c>
      <c r="D40" s="262"/>
      <c r="E40" s="262"/>
      <c r="F40" s="262"/>
      <c r="G40" s="262"/>
    </row>
    <row r="41" spans="1:7" ht="15" customHeight="1" x14ac:dyDescent="0.2">
      <c r="A41" s="184"/>
      <c r="B41" s="200" t="s">
        <v>9</v>
      </c>
      <c r="C41" s="15" t="s">
        <v>135</v>
      </c>
      <c r="D41" s="255"/>
      <c r="E41" s="255"/>
      <c r="F41" s="255"/>
      <c r="G41" s="255"/>
    </row>
    <row r="42" spans="1:7" ht="31.5" customHeight="1" x14ac:dyDescent="0.2">
      <c r="A42" s="184"/>
      <c r="B42" s="200" t="s">
        <v>15</v>
      </c>
      <c r="C42" s="15" t="s">
        <v>138</v>
      </c>
      <c r="D42" s="255"/>
      <c r="E42" s="255"/>
      <c r="F42" s="255"/>
      <c r="G42" s="255"/>
    </row>
    <row r="43" spans="1:7" ht="15" customHeight="1" x14ac:dyDescent="0.2">
      <c r="A43" s="184"/>
      <c r="B43" s="200" t="s">
        <v>19</v>
      </c>
      <c r="C43" s="15" t="s">
        <v>817</v>
      </c>
      <c r="D43" s="255"/>
      <c r="E43" s="255"/>
      <c r="F43" s="255"/>
      <c r="G43" s="255"/>
    </row>
    <row r="44" spans="1:7" ht="15" customHeight="1" x14ac:dyDescent="0.2">
      <c r="A44" s="180" t="s">
        <v>20</v>
      </c>
      <c r="B44" s="12"/>
      <c r="C44" s="67" t="s">
        <v>818</v>
      </c>
      <c r="D44" s="220"/>
      <c r="E44" s="220"/>
      <c r="F44" s="220"/>
      <c r="G44" s="220"/>
    </row>
    <row r="45" spans="1:7" s="187" customFormat="1" ht="15" customHeight="1" x14ac:dyDescent="0.2">
      <c r="A45" s="180"/>
      <c r="B45" s="12"/>
      <c r="C45" s="67" t="s">
        <v>819</v>
      </c>
      <c r="D45" s="220"/>
      <c r="E45" s="220"/>
      <c r="F45" s="220"/>
      <c r="G45" s="220"/>
    </row>
    <row r="46" spans="1:7" ht="15" customHeight="1" x14ac:dyDescent="0.2">
      <c r="A46" s="268" t="s">
        <v>150</v>
      </c>
      <c r="B46" s="269"/>
      <c r="C46" s="480" t="s">
        <v>820</v>
      </c>
      <c r="D46" s="270">
        <f>+D33+D39+D44</f>
        <v>15396</v>
      </c>
      <c r="E46" s="270">
        <f>+E33+E39+E44+E45</f>
        <v>0</v>
      </c>
      <c r="F46" s="270">
        <f>+F33+F39+F44+F45</f>
        <v>0</v>
      </c>
      <c r="G46" s="270" t="e">
        <f>F46/E46*100</f>
        <v>#DIV/0!</v>
      </c>
    </row>
    <row r="47" spans="1:7" ht="15" customHeight="1" x14ac:dyDescent="0.2">
      <c r="A47" s="242"/>
      <c r="B47" s="243"/>
      <c r="C47" s="243"/>
      <c r="D47" s="516"/>
      <c r="E47" s="516"/>
      <c r="F47" s="516"/>
      <c r="G47" s="516"/>
    </row>
    <row r="48" spans="1:7" ht="15" customHeight="1" x14ac:dyDescent="0.2">
      <c r="A48" s="244" t="s">
        <v>297</v>
      </c>
      <c r="B48" s="245"/>
      <c r="C48" s="246"/>
      <c r="D48" s="482">
        <v>2</v>
      </c>
      <c r="E48" s="482"/>
      <c r="F48" s="482"/>
      <c r="G48" s="482"/>
    </row>
    <row r="49" spans="1:7" ht="15" customHeight="1" x14ac:dyDescent="0.2">
      <c r="A49" s="244" t="s">
        <v>298</v>
      </c>
      <c r="B49" s="245"/>
      <c r="C49" s="246"/>
      <c r="D49" s="482"/>
      <c r="E49" s="482"/>
      <c r="F49" s="482"/>
      <c r="G49" s="482"/>
    </row>
    <row r="50" spans="1:7" ht="15" x14ac:dyDescent="0.2">
      <c r="A50" s="517"/>
      <c r="B50" s="187"/>
      <c r="C50" s="187"/>
      <c r="D50" s="201"/>
      <c r="E50" s="201"/>
      <c r="F50" s="201"/>
      <c r="G50" s="201"/>
    </row>
    <row r="51" spans="1:7" ht="15" x14ac:dyDescent="0.2">
      <c r="A51" s="517"/>
      <c r="B51" s="187"/>
      <c r="C51" s="187"/>
      <c r="D51" s="201"/>
      <c r="E51" s="201"/>
      <c r="F51" s="201"/>
      <c r="G51" s="201"/>
    </row>
    <row r="52" spans="1:7" ht="15" x14ac:dyDescent="0.2">
      <c r="A52" s="517"/>
      <c r="B52" s="187"/>
      <c r="C52" s="187"/>
      <c r="D52" s="201"/>
      <c r="E52" s="201"/>
      <c r="F52" s="201"/>
      <c r="G52" s="201"/>
    </row>
    <row r="53" spans="1:7" ht="15" x14ac:dyDescent="0.2">
      <c r="A53" s="517"/>
      <c r="B53" s="187"/>
      <c r="C53" s="187"/>
      <c r="D53" s="201"/>
      <c r="E53" s="201"/>
      <c r="F53" s="201"/>
      <c r="G53" s="201"/>
    </row>
    <row r="54" spans="1:7" ht="15" x14ac:dyDescent="0.2">
      <c r="A54" s="517"/>
      <c r="B54" s="187"/>
      <c r="C54" s="187"/>
      <c r="D54" s="201"/>
      <c r="E54" s="201"/>
      <c r="F54" s="201"/>
      <c r="G54" s="201"/>
    </row>
    <row r="55" spans="1:7" ht="15" x14ac:dyDescent="0.2">
      <c r="A55" s="517"/>
      <c r="B55" s="187"/>
      <c r="C55" s="187"/>
      <c r="D55" s="201"/>
      <c r="E55" s="201"/>
      <c r="F55" s="201"/>
      <c r="G55" s="201"/>
    </row>
    <row r="56" spans="1:7" ht="15" x14ac:dyDescent="0.2">
      <c r="A56" s="517"/>
      <c r="B56" s="187"/>
      <c r="C56" s="187"/>
      <c r="D56" s="201"/>
      <c r="E56" s="201"/>
      <c r="F56" s="201"/>
      <c r="G56" s="201"/>
    </row>
    <row r="57" spans="1:7" ht="15" x14ac:dyDescent="0.2">
      <c r="A57" s="517"/>
      <c r="B57" s="187"/>
      <c r="C57" s="187"/>
      <c r="D57" s="201"/>
      <c r="E57" s="201"/>
      <c r="F57" s="201"/>
      <c r="G57" s="201"/>
    </row>
    <row r="58" spans="1:7" ht="15" x14ac:dyDescent="0.2">
      <c r="A58" s="517"/>
      <c r="B58" s="187"/>
      <c r="C58" s="187"/>
      <c r="D58" s="201"/>
      <c r="E58" s="201"/>
      <c r="F58" s="201"/>
      <c r="G58" s="201"/>
    </row>
    <row r="59" spans="1:7" ht="15" x14ac:dyDescent="0.2">
      <c r="A59" s="517"/>
      <c r="B59" s="187"/>
      <c r="C59" s="187"/>
      <c r="D59" s="201"/>
      <c r="E59" s="201"/>
      <c r="F59" s="201"/>
      <c r="G59" s="201"/>
    </row>
    <row r="60" spans="1:7" ht="15" x14ac:dyDescent="0.2">
      <c r="A60" s="517"/>
      <c r="B60" s="187"/>
      <c r="C60" s="187"/>
      <c r="D60" s="201"/>
      <c r="E60" s="201"/>
      <c r="F60" s="201"/>
      <c r="G60" s="201"/>
    </row>
    <row r="61" spans="1:7" ht="15" x14ac:dyDescent="0.2">
      <c r="A61" s="517"/>
      <c r="B61" s="187"/>
      <c r="C61" s="187"/>
      <c r="D61" s="201"/>
      <c r="E61" s="201"/>
      <c r="F61" s="201"/>
      <c r="G61" s="201"/>
    </row>
    <row r="62" spans="1:7" ht="15" x14ac:dyDescent="0.2">
      <c r="A62" s="517"/>
      <c r="B62" s="187"/>
      <c r="C62" s="187"/>
      <c r="D62" s="201"/>
      <c r="E62" s="201"/>
      <c r="F62" s="201"/>
      <c r="G62" s="201"/>
    </row>
    <row r="63" spans="1:7" ht="15" x14ac:dyDescent="0.2">
      <c r="A63" s="517"/>
      <c r="B63" s="187"/>
      <c r="C63" s="187"/>
      <c r="D63" s="201"/>
      <c r="E63" s="201"/>
      <c r="F63" s="201"/>
      <c r="G63" s="201"/>
    </row>
    <row r="64" spans="1:7" ht="15" x14ac:dyDescent="0.2">
      <c r="A64" s="517"/>
      <c r="B64" s="187"/>
      <c r="C64" s="187"/>
      <c r="D64" s="201"/>
      <c r="E64" s="201"/>
      <c r="F64" s="201"/>
      <c r="G64" s="201"/>
    </row>
    <row r="65" spans="1:7" ht="15" x14ac:dyDescent="0.2">
      <c r="A65" s="517"/>
      <c r="B65" s="187"/>
      <c r="C65" s="187"/>
      <c r="D65" s="201"/>
      <c r="E65" s="201"/>
      <c r="F65" s="201"/>
      <c r="G65" s="201"/>
    </row>
    <row r="66" spans="1:7" ht="15" x14ac:dyDescent="0.2">
      <c r="A66" s="517"/>
      <c r="B66" s="187"/>
      <c r="C66" s="187"/>
      <c r="D66" s="201"/>
      <c r="E66" s="201"/>
      <c r="F66" s="201"/>
      <c r="G66" s="201"/>
    </row>
    <row r="67" spans="1:7" ht="15" x14ac:dyDescent="0.2">
      <c r="A67" s="517"/>
      <c r="B67" s="187"/>
      <c r="C67" s="187"/>
      <c r="D67" s="201"/>
      <c r="E67" s="201"/>
      <c r="F67" s="201"/>
      <c r="G67" s="201"/>
    </row>
    <row r="68" spans="1:7" ht="15" x14ac:dyDescent="0.2">
      <c r="A68" s="517"/>
      <c r="B68" s="187"/>
      <c r="C68" s="187"/>
      <c r="D68" s="201"/>
      <c r="E68" s="201"/>
      <c r="F68" s="201"/>
      <c r="G68" s="201"/>
    </row>
    <row r="69" spans="1:7" ht="15" x14ac:dyDescent="0.2">
      <c r="A69" s="517"/>
      <c r="B69" s="187"/>
      <c r="C69" s="187"/>
      <c r="D69" s="201"/>
      <c r="E69" s="201"/>
      <c r="F69" s="201"/>
      <c r="G69" s="201"/>
    </row>
    <row r="70" spans="1:7" ht="15" x14ac:dyDescent="0.2">
      <c r="A70" s="517"/>
      <c r="B70" s="187"/>
      <c r="C70" s="187"/>
      <c r="D70" s="201"/>
      <c r="E70" s="201"/>
      <c r="F70" s="201"/>
      <c r="G70" s="201"/>
    </row>
    <row r="71" spans="1:7" ht="15" x14ac:dyDescent="0.2">
      <c r="A71" s="517"/>
      <c r="B71" s="187"/>
      <c r="C71" s="187"/>
      <c r="D71" s="201"/>
      <c r="E71" s="201"/>
      <c r="F71" s="201"/>
      <c r="G71" s="201"/>
    </row>
    <row r="72" spans="1:7" ht="15" x14ac:dyDescent="0.2">
      <c r="A72" s="517"/>
      <c r="B72" s="187"/>
      <c r="C72" s="187"/>
      <c r="D72" s="201"/>
      <c r="E72" s="201"/>
      <c r="F72" s="201"/>
      <c r="G72" s="201"/>
    </row>
    <row r="73" spans="1:7" ht="15" x14ac:dyDescent="0.2">
      <c r="A73" s="517"/>
      <c r="B73" s="187"/>
      <c r="C73" s="187"/>
      <c r="D73" s="201"/>
      <c r="E73" s="201"/>
      <c r="F73" s="201"/>
      <c r="G73" s="201"/>
    </row>
    <row r="74" spans="1:7" ht="15" x14ac:dyDescent="0.2">
      <c r="A74" s="517"/>
      <c r="B74" s="187"/>
      <c r="C74" s="187"/>
      <c r="D74" s="201"/>
      <c r="E74" s="201"/>
      <c r="F74" s="201"/>
      <c r="G74" s="201"/>
    </row>
    <row r="75" spans="1:7" ht="15" x14ac:dyDescent="0.2">
      <c r="A75" s="517"/>
      <c r="B75" s="187"/>
      <c r="C75" s="187"/>
      <c r="D75" s="201"/>
      <c r="E75" s="201"/>
      <c r="F75" s="201"/>
      <c r="G75" s="201"/>
    </row>
    <row r="76" spans="1:7" ht="15" x14ac:dyDescent="0.2">
      <c r="A76" s="517"/>
      <c r="B76" s="187"/>
      <c r="C76" s="187"/>
      <c r="D76" s="201"/>
      <c r="E76" s="201"/>
      <c r="F76" s="201"/>
      <c r="G76" s="201"/>
    </row>
    <row r="77" spans="1:7" ht="15" x14ac:dyDescent="0.2">
      <c r="A77" s="517"/>
      <c r="B77" s="187"/>
      <c r="C77" s="187"/>
      <c r="D77" s="201"/>
      <c r="E77" s="201"/>
      <c r="F77" s="201"/>
      <c r="G77" s="201"/>
    </row>
    <row r="78" spans="1:7" ht="15" x14ac:dyDescent="0.2">
      <c r="A78" s="517"/>
      <c r="B78" s="187"/>
      <c r="C78" s="187"/>
      <c r="D78" s="201"/>
      <c r="E78" s="201"/>
      <c r="F78" s="201"/>
      <c r="G78" s="201"/>
    </row>
    <row r="79" spans="1:7" ht="15" x14ac:dyDescent="0.2">
      <c r="A79" s="517"/>
      <c r="B79" s="187"/>
      <c r="C79" s="187"/>
      <c r="D79" s="201"/>
      <c r="E79" s="201"/>
      <c r="F79" s="201"/>
      <c r="G79" s="201"/>
    </row>
    <row r="80" spans="1:7" ht="15" x14ac:dyDescent="0.2">
      <c r="A80" s="517"/>
      <c r="B80" s="187"/>
      <c r="C80" s="187"/>
      <c r="D80" s="201"/>
      <c r="E80" s="201"/>
      <c r="F80" s="201"/>
      <c r="G80" s="201"/>
    </row>
    <row r="81" spans="1:7" ht="15" x14ac:dyDescent="0.2">
      <c r="A81" s="517"/>
      <c r="B81" s="187"/>
      <c r="C81" s="187"/>
      <c r="D81" s="201"/>
      <c r="E81" s="201"/>
      <c r="F81" s="201"/>
      <c r="G81" s="201"/>
    </row>
    <row r="82" spans="1:7" ht="15" x14ac:dyDescent="0.2">
      <c r="A82" s="517"/>
      <c r="B82" s="187"/>
      <c r="C82" s="187"/>
      <c r="D82" s="201"/>
      <c r="E82" s="201"/>
      <c r="F82" s="201"/>
      <c r="G82" s="201"/>
    </row>
    <row r="83" spans="1:7" ht="15" x14ac:dyDescent="0.2">
      <c r="A83" s="517"/>
      <c r="B83" s="187"/>
      <c r="C83" s="187"/>
      <c r="D83" s="201"/>
      <c r="E83" s="201"/>
      <c r="F83" s="201"/>
      <c r="G83" s="201"/>
    </row>
    <row r="84" spans="1:7" ht="15" x14ac:dyDescent="0.2">
      <c r="A84" s="517"/>
      <c r="B84" s="187"/>
      <c r="C84" s="187"/>
      <c r="D84" s="201"/>
      <c r="E84" s="201"/>
      <c r="F84" s="201"/>
      <c r="G84" s="201"/>
    </row>
    <row r="85" spans="1:7" ht="15" x14ac:dyDescent="0.2">
      <c r="A85" s="517"/>
      <c r="B85" s="187"/>
      <c r="C85" s="187"/>
      <c r="D85" s="201"/>
      <c r="E85" s="201"/>
      <c r="F85" s="201"/>
      <c r="G85" s="201"/>
    </row>
    <row r="86" spans="1:7" ht="15" x14ac:dyDescent="0.2">
      <c r="A86" s="517"/>
      <c r="B86" s="187"/>
      <c r="C86" s="187"/>
      <c r="D86" s="201"/>
      <c r="E86" s="201"/>
      <c r="F86" s="201"/>
      <c r="G86" s="201"/>
    </row>
    <row r="87" spans="1:7" ht="15" x14ac:dyDescent="0.2">
      <c r="A87" s="517"/>
      <c r="B87" s="187"/>
      <c r="C87" s="187"/>
      <c r="D87" s="201"/>
      <c r="E87" s="201"/>
      <c r="F87" s="201"/>
      <c r="G87" s="201"/>
    </row>
    <row r="88" spans="1:7" ht="15" x14ac:dyDescent="0.2">
      <c r="A88" s="517"/>
      <c r="B88" s="187"/>
      <c r="C88" s="187"/>
      <c r="D88" s="201"/>
      <c r="E88" s="201"/>
      <c r="F88" s="201"/>
      <c r="G88" s="201"/>
    </row>
    <row r="89" spans="1:7" ht="15" x14ac:dyDescent="0.2">
      <c r="A89" s="517"/>
      <c r="B89" s="187"/>
      <c r="C89" s="187"/>
      <c r="D89" s="201"/>
      <c r="E89" s="201"/>
      <c r="F89" s="201"/>
      <c r="G89" s="201"/>
    </row>
    <row r="90" spans="1:7" ht="15" x14ac:dyDescent="0.2">
      <c r="A90" s="517"/>
      <c r="B90" s="187"/>
      <c r="C90" s="187"/>
      <c r="D90" s="201"/>
      <c r="E90" s="201"/>
      <c r="F90" s="201"/>
      <c r="G90" s="201"/>
    </row>
    <row r="91" spans="1:7" ht="15" x14ac:dyDescent="0.2">
      <c r="A91" s="517"/>
      <c r="B91" s="187"/>
      <c r="C91" s="187"/>
      <c r="D91" s="201"/>
      <c r="E91" s="201"/>
      <c r="F91" s="201"/>
      <c r="G91" s="201"/>
    </row>
    <row r="92" spans="1:7" ht="15" x14ac:dyDescent="0.2">
      <c r="A92" s="517"/>
      <c r="B92" s="187"/>
      <c r="C92" s="187"/>
      <c r="D92" s="201"/>
      <c r="E92" s="201"/>
      <c r="F92" s="201"/>
      <c r="G92" s="201"/>
    </row>
    <row r="93" spans="1:7" ht="15" x14ac:dyDescent="0.2">
      <c r="A93" s="517"/>
      <c r="B93" s="187"/>
      <c r="C93" s="187"/>
      <c r="D93" s="201"/>
      <c r="E93" s="201"/>
      <c r="F93" s="201"/>
      <c r="G93" s="201"/>
    </row>
    <row r="94" spans="1:7" ht="15" x14ac:dyDescent="0.2">
      <c r="A94" s="517"/>
      <c r="B94" s="187"/>
      <c r="C94" s="187"/>
      <c r="D94" s="201"/>
      <c r="E94" s="201"/>
      <c r="F94" s="201"/>
      <c r="G94" s="201"/>
    </row>
    <row r="95" spans="1:7" ht="15" x14ac:dyDescent="0.2">
      <c r="A95" s="517"/>
      <c r="B95" s="187"/>
      <c r="C95" s="187"/>
      <c r="D95" s="201"/>
      <c r="E95" s="201"/>
      <c r="F95" s="201"/>
      <c r="G95" s="201"/>
    </row>
    <row r="96" spans="1:7" ht="15" x14ac:dyDescent="0.2">
      <c r="A96" s="517"/>
      <c r="B96" s="187"/>
      <c r="C96" s="187"/>
      <c r="D96" s="201"/>
      <c r="E96" s="201"/>
      <c r="F96" s="201"/>
      <c r="G96" s="201"/>
    </row>
    <row r="97" spans="1:7" ht="15" x14ac:dyDescent="0.2">
      <c r="A97" s="517"/>
      <c r="B97" s="187"/>
      <c r="C97" s="187"/>
      <c r="D97" s="201"/>
      <c r="E97" s="201"/>
      <c r="F97" s="201"/>
      <c r="G97" s="201"/>
    </row>
    <row r="98" spans="1:7" ht="15" x14ac:dyDescent="0.2">
      <c r="A98" s="517"/>
      <c r="B98" s="187"/>
      <c r="C98" s="187"/>
      <c r="D98" s="201"/>
      <c r="E98" s="201"/>
      <c r="F98" s="201"/>
      <c r="G98" s="201"/>
    </row>
    <row r="99" spans="1:7" ht="15" x14ac:dyDescent="0.2">
      <c r="A99" s="517"/>
      <c r="B99" s="187"/>
      <c r="C99" s="187"/>
      <c r="D99" s="201"/>
      <c r="E99" s="201"/>
      <c r="F99" s="201"/>
      <c r="G99" s="201"/>
    </row>
    <row r="100" spans="1:7" ht="15" x14ac:dyDescent="0.2">
      <c r="A100" s="517"/>
      <c r="B100" s="187"/>
      <c r="C100" s="187"/>
      <c r="D100" s="201"/>
      <c r="E100" s="201"/>
      <c r="F100" s="201"/>
      <c r="G100" s="201"/>
    </row>
    <row r="101" spans="1:7" ht="15" x14ac:dyDescent="0.2">
      <c r="A101" s="517"/>
      <c r="B101" s="187"/>
      <c r="C101" s="187"/>
      <c r="D101" s="201"/>
      <c r="E101" s="201"/>
      <c r="F101" s="201"/>
      <c r="G101" s="201"/>
    </row>
    <row r="102" spans="1:7" ht="15" x14ac:dyDescent="0.2">
      <c r="A102" s="517"/>
      <c r="B102" s="187"/>
      <c r="C102" s="187"/>
      <c r="D102" s="201"/>
      <c r="E102" s="201"/>
      <c r="F102" s="201"/>
      <c r="G102" s="201"/>
    </row>
    <row r="103" spans="1:7" ht="15" x14ac:dyDescent="0.2">
      <c r="A103" s="517"/>
      <c r="B103" s="187"/>
      <c r="C103" s="187"/>
      <c r="D103" s="201"/>
      <c r="E103" s="201"/>
      <c r="F103" s="201"/>
      <c r="G103" s="201"/>
    </row>
    <row r="104" spans="1:7" ht="15" x14ac:dyDescent="0.2">
      <c r="A104" s="517"/>
      <c r="B104" s="187"/>
      <c r="C104" s="187"/>
      <c r="D104" s="201"/>
      <c r="E104" s="201"/>
      <c r="F104" s="201"/>
      <c r="G104" s="201"/>
    </row>
    <row r="105" spans="1:7" ht="15" x14ac:dyDescent="0.2">
      <c r="A105" s="517"/>
      <c r="B105" s="187"/>
      <c r="C105" s="187"/>
      <c r="D105" s="201"/>
      <c r="E105" s="201"/>
      <c r="F105" s="201"/>
      <c r="G105" s="201"/>
    </row>
    <row r="106" spans="1:7" ht="15" x14ac:dyDescent="0.2">
      <c r="A106" s="517"/>
      <c r="B106" s="187"/>
      <c r="C106" s="187"/>
      <c r="D106" s="201"/>
      <c r="E106" s="201"/>
      <c r="F106" s="201"/>
      <c r="G106" s="201"/>
    </row>
    <row r="107" spans="1:7" ht="15" x14ac:dyDescent="0.2">
      <c r="A107" s="517"/>
      <c r="B107" s="187"/>
      <c r="C107" s="187"/>
      <c r="D107" s="201"/>
      <c r="E107" s="201"/>
      <c r="F107" s="201"/>
      <c r="G107" s="201"/>
    </row>
    <row r="108" spans="1:7" ht="15" x14ac:dyDescent="0.2">
      <c r="A108" s="517"/>
      <c r="B108" s="187"/>
      <c r="C108" s="187"/>
      <c r="D108" s="201"/>
      <c r="E108" s="201"/>
      <c r="F108" s="201"/>
      <c r="G108" s="201"/>
    </row>
    <row r="109" spans="1:7" ht="15" x14ac:dyDescent="0.2">
      <c r="A109" s="517"/>
      <c r="B109" s="187"/>
      <c r="C109" s="187"/>
      <c r="D109" s="201"/>
      <c r="E109" s="201"/>
      <c r="F109" s="201"/>
      <c r="G109" s="201"/>
    </row>
    <row r="110" spans="1:7" ht="15" x14ac:dyDescent="0.2">
      <c r="A110" s="517"/>
      <c r="B110" s="187"/>
      <c r="C110" s="187"/>
      <c r="D110" s="201"/>
      <c r="E110" s="201"/>
      <c r="F110" s="201"/>
      <c r="G110" s="201"/>
    </row>
    <row r="111" spans="1:7" ht="15" x14ac:dyDescent="0.2">
      <c r="A111" s="517"/>
      <c r="B111" s="187"/>
      <c r="C111" s="187"/>
      <c r="D111" s="201"/>
      <c r="E111" s="201"/>
      <c r="F111" s="201"/>
      <c r="G111" s="201"/>
    </row>
    <row r="112" spans="1:7" ht="15" x14ac:dyDescent="0.2">
      <c r="A112" s="517"/>
      <c r="B112" s="187"/>
      <c r="C112" s="187"/>
      <c r="D112" s="201"/>
      <c r="E112" s="201"/>
      <c r="F112" s="201"/>
      <c r="G112" s="201"/>
    </row>
    <row r="113" spans="1:7" ht="15" x14ac:dyDescent="0.2">
      <c r="A113" s="517"/>
      <c r="B113" s="187"/>
      <c r="C113" s="187"/>
      <c r="D113" s="201"/>
      <c r="E113" s="201"/>
      <c r="F113" s="201"/>
      <c r="G113" s="201"/>
    </row>
    <row r="114" spans="1:7" ht="15" x14ac:dyDescent="0.2">
      <c r="A114" s="517"/>
      <c r="B114" s="187"/>
      <c r="C114" s="187"/>
      <c r="D114" s="201"/>
      <c r="E114" s="201"/>
      <c r="F114" s="201"/>
      <c r="G114" s="201"/>
    </row>
    <row r="115" spans="1:7" ht="15" x14ac:dyDescent="0.2">
      <c r="A115" s="517"/>
      <c r="B115" s="187"/>
      <c r="C115" s="187"/>
      <c r="D115" s="201"/>
      <c r="E115" s="201"/>
      <c r="F115" s="201"/>
      <c r="G115" s="201"/>
    </row>
    <row r="116" spans="1:7" ht="15" x14ac:dyDescent="0.2">
      <c r="A116" s="517"/>
      <c r="B116" s="187"/>
      <c r="C116" s="187"/>
      <c r="D116" s="201"/>
      <c r="E116" s="201"/>
      <c r="F116" s="201"/>
      <c r="G116" s="201"/>
    </row>
    <row r="117" spans="1:7" ht="15" x14ac:dyDescent="0.2">
      <c r="A117" s="517"/>
      <c r="B117" s="187"/>
      <c r="C117" s="187"/>
      <c r="D117" s="201"/>
      <c r="E117" s="201"/>
      <c r="F117" s="201"/>
      <c r="G117" s="201"/>
    </row>
    <row r="118" spans="1:7" ht="15" x14ac:dyDescent="0.2">
      <c r="A118" s="517"/>
      <c r="B118" s="187"/>
      <c r="C118" s="187"/>
      <c r="D118" s="201"/>
      <c r="E118" s="201"/>
      <c r="F118" s="201"/>
      <c r="G118" s="201"/>
    </row>
    <row r="119" spans="1:7" ht="15" x14ac:dyDescent="0.2">
      <c r="A119" s="517"/>
      <c r="B119" s="187"/>
      <c r="C119" s="187"/>
      <c r="D119" s="201"/>
      <c r="E119" s="201"/>
      <c r="F119" s="201"/>
      <c r="G119" s="201"/>
    </row>
    <row r="120" spans="1:7" ht="15" x14ac:dyDescent="0.2">
      <c r="A120" s="517"/>
      <c r="B120" s="187"/>
      <c r="C120" s="187"/>
      <c r="D120" s="201"/>
      <c r="E120" s="201"/>
      <c r="F120" s="201"/>
      <c r="G120" s="201"/>
    </row>
    <row r="121" spans="1:7" ht="15" x14ac:dyDescent="0.2">
      <c r="A121" s="517"/>
      <c r="B121" s="187"/>
      <c r="C121" s="187"/>
      <c r="D121" s="201"/>
      <c r="E121" s="201"/>
      <c r="F121" s="201"/>
      <c r="G121" s="201"/>
    </row>
    <row r="122" spans="1:7" ht="15" x14ac:dyDescent="0.2">
      <c r="A122" s="517"/>
      <c r="B122" s="187"/>
      <c r="C122" s="187"/>
      <c r="D122" s="201"/>
      <c r="E122" s="201"/>
      <c r="F122" s="201"/>
      <c r="G122" s="201"/>
    </row>
    <row r="123" spans="1:7" ht="15" x14ac:dyDescent="0.2">
      <c r="A123" s="517"/>
      <c r="B123" s="187"/>
      <c r="C123" s="187"/>
      <c r="D123" s="201"/>
      <c r="E123" s="201"/>
      <c r="F123" s="201"/>
      <c r="G123" s="201"/>
    </row>
    <row r="124" spans="1:7" ht="15" x14ac:dyDescent="0.2">
      <c r="A124" s="517"/>
      <c r="B124" s="187"/>
      <c r="C124" s="187"/>
      <c r="D124" s="201"/>
      <c r="E124" s="201"/>
      <c r="F124" s="201"/>
      <c r="G124" s="201"/>
    </row>
    <row r="125" spans="1:7" ht="15" x14ac:dyDescent="0.2">
      <c r="A125" s="517"/>
      <c r="B125" s="187"/>
      <c r="C125" s="187"/>
      <c r="D125" s="201"/>
      <c r="E125" s="201"/>
      <c r="F125" s="201"/>
      <c r="G125" s="201"/>
    </row>
    <row r="126" spans="1:7" ht="15" x14ac:dyDescent="0.2">
      <c r="A126" s="517"/>
      <c r="B126" s="187"/>
      <c r="C126" s="187"/>
      <c r="D126" s="201"/>
      <c r="E126" s="201"/>
      <c r="F126" s="201"/>
      <c r="G126" s="201"/>
    </row>
    <row r="127" spans="1:7" ht="15" x14ac:dyDescent="0.2">
      <c r="A127" s="517"/>
      <c r="B127" s="187"/>
      <c r="C127" s="187"/>
      <c r="D127" s="201"/>
      <c r="E127" s="201"/>
      <c r="F127" s="201"/>
      <c r="G127" s="201"/>
    </row>
    <row r="128" spans="1:7" ht="15" x14ac:dyDescent="0.2">
      <c r="A128" s="517"/>
      <c r="B128" s="187"/>
      <c r="C128" s="187"/>
      <c r="D128" s="201"/>
      <c r="E128" s="201"/>
      <c r="F128" s="201"/>
      <c r="G128" s="201"/>
    </row>
    <row r="129" spans="1:7" ht="15" x14ac:dyDescent="0.2">
      <c r="A129" s="517"/>
      <c r="B129" s="187"/>
      <c r="C129" s="187"/>
      <c r="D129" s="201"/>
      <c r="E129" s="201"/>
      <c r="F129" s="201"/>
      <c r="G129" s="201"/>
    </row>
    <row r="130" spans="1:7" ht="15" x14ac:dyDescent="0.2">
      <c r="A130" s="517"/>
      <c r="B130" s="187"/>
      <c r="C130" s="187"/>
      <c r="D130" s="201"/>
      <c r="E130" s="201"/>
      <c r="F130" s="201"/>
      <c r="G130" s="201"/>
    </row>
    <row r="131" spans="1:7" ht="15" x14ac:dyDescent="0.2">
      <c r="A131" s="517"/>
      <c r="B131" s="187"/>
      <c r="C131" s="187"/>
      <c r="D131" s="201"/>
      <c r="E131" s="201"/>
      <c r="F131" s="201"/>
      <c r="G131" s="201"/>
    </row>
    <row r="132" spans="1:7" ht="15" x14ac:dyDescent="0.2">
      <c r="A132" s="517"/>
      <c r="B132" s="187"/>
      <c r="C132" s="187"/>
      <c r="D132" s="201"/>
      <c r="E132" s="201"/>
      <c r="F132" s="201"/>
      <c r="G132" s="201"/>
    </row>
    <row r="133" spans="1:7" ht="15" x14ac:dyDescent="0.2">
      <c r="A133" s="517"/>
      <c r="B133" s="187"/>
      <c r="C133" s="187"/>
      <c r="D133" s="201"/>
      <c r="E133" s="201"/>
      <c r="F133" s="201"/>
      <c r="G133" s="201"/>
    </row>
    <row r="134" spans="1:7" ht="15" x14ac:dyDescent="0.2">
      <c r="A134" s="517"/>
      <c r="B134" s="187"/>
      <c r="C134" s="187"/>
      <c r="D134" s="201"/>
      <c r="E134" s="201"/>
      <c r="F134" s="201"/>
      <c r="G134" s="201"/>
    </row>
    <row r="135" spans="1:7" ht="15" x14ac:dyDescent="0.2">
      <c r="A135" s="517"/>
      <c r="B135" s="187"/>
      <c r="C135" s="187"/>
      <c r="D135" s="201"/>
      <c r="E135" s="201"/>
      <c r="F135" s="201"/>
      <c r="G135" s="201"/>
    </row>
    <row r="136" spans="1:7" ht="15" x14ac:dyDescent="0.2">
      <c r="A136" s="517"/>
      <c r="B136" s="187"/>
      <c r="C136" s="187"/>
      <c r="D136" s="201"/>
      <c r="E136" s="201"/>
      <c r="F136" s="201"/>
      <c r="G136" s="201"/>
    </row>
    <row r="137" spans="1:7" ht="15" x14ac:dyDescent="0.2">
      <c r="A137" s="517"/>
      <c r="B137" s="187"/>
      <c r="C137" s="187"/>
      <c r="D137" s="201"/>
      <c r="E137" s="201"/>
      <c r="F137" s="201"/>
      <c r="G137" s="201"/>
    </row>
    <row r="138" spans="1:7" ht="15" x14ac:dyDescent="0.2">
      <c r="A138" s="517"/>
      <c r="B138" s="187"/>
      <c r="C138" s="187"/>
      <c r="D138" s="201"/>
      <c r="E138" s="201"/>
      <c r="F138" s="201"/>
      <c r="G138" s="201"/>
    </row>
    <row r="139" spans="1:7" ht="15" x14ac:dyDescent="0.2">
      <c r="A139" s="517"/>
      <c r="B139" s="187"/>
      <c r="C139" s="187"/>
      <c r="D139" s="201"/>
      <c r="E139" s="201"/>
      <c r="F139" s="201"/>
      <c r="G139" s="201"/>
    </row>
    <row r="140" spans="1:7" ht="15" x14ac:dyDescent="0.2">
      <c r="A140" s="517"/>
      <c r="B140" s="187"/>
      <c r="C140" s="187"/>
      <c r="D140" s="201"/>
      <c r="E140" s="201"/>
      <c r="F140" s="201"/>
      <c r="G140" s="201"/>
    </row>
    <row r="141" spans="1:7" ht="15" x14ac:dyDescent="0.2">
      <c r="A141" s="517"/>
      <c r="B141" s="187"/>
      <c r="C141" s="187"/>
      <c r="D141" s="201"/>
      <c r="E141" s="201"/>
      <c r="F141" s="201"/>
      <c r="G141" s="201"/>
    </row>
    <row r="142" spans="1:7" ht="15" x14ac:dyDescent="0.2">
      <c r="A142" s="517"/>
      <c r="B142" s="187"/>
      <c r="C142" s="187"/>
      <c r="D142" s="201"/>
      <c r="E142" s="201"/>
      <c r="F142" s="201"/>
      <c r="G142" s="201"/>
    </row>
    <row r="143" spans="1:7" ht="15" x14ac:dyDescent="0.2">
      <c r="A143" s="517"/>
      <c r="B143" s="187"/>
      <c r="C143" s="187"/>
      <c r="D143" s="201"/>
      <c r="E143" s="201"/>
      <c r="F143" s="201"/>
      <c r="G143" s="201"/>
    </row>
    <row r="144" spans="1:7" ht="15" x14ac:dyDescent="0.2">
      <c r="A144" s="517"/>
      <c r="B144" s="187"/>
      <c r="C144" s="187"/>
      <c r="D144" s="201"/>
      <c r="E144" s="201"/>
      <c r="F144" s="201"/>
      <c r="G144" s="201"/>
    </row>
    <row r="145" spans="1:7" ht="15" x14ac:dyDescent="0.2">
      <c r="A145" s="517"/>
      <c r="B145" s="187"/>
      <c r="C145" s="187"/>
      <c r="D145" s="201"/>
      <c r="E145" s="201"/>
      <c r="F145" s="201"/>
      <c r="G145" s="201"/>
    </row>
    <row r="146" spans="1:7" ht="15" x14ac:dyDescent="0.2">
      <c r="A146" s="517"/>
      <c r="B146" s="187"/>
      <c r="C146" s="187"/>
      <c r="D146" s="201"/>
      <c r="E146" s="201"/>
      <c r="F146" s="201"/>
      <c r="G146" s="201"/>
    </row>
    <row r="147" spans="1:7" x14ac:dyDescent="0.2">
      <c r="D147" s="230"/>
      <c r="E147" s="230"/>
      <c r="F147" s="230"/>
      <c r="G147" s="230"/>
    </row>
    <row r="148" spans="1:7" x14ac:dyDescent="0.2">
      <c r="D148" s="230"/>
      <c r="E148" s="230"/>
      <c r="F148" s="230"/>
      <c r="G148" s="230"/>
    </row>
    <row r="149" spans="1:7" x14ac:dyDescent="0.2">
      <c r="D149" s="230"/>
      <c r="E149" s="230"/>
      <c r="F149" s="230"/>
      <c r="G149" s="230"/>
    </row>
    <row r="150" spans="1:7" x14ac:dyDescent="0.2">
      <c r="D150" s="230"/>
      <c r="E150" s="230"/>
      <c r="F150" s="230"/>
      <c r="G150" s="230"/>
    </row>
    <row r="151" spans="1:7" x14ac:dyDescent="0.2">
      <c r="D151" s="230"/>
      <c r="E151" s="230"/>
      <c r="F151" s="230"/>
      <c r="G151" s="230"/>
    </row>
    <row r="152" spans="1:7" x14ac:dyDescent="0.2">
      <c r="D152" s="230"/>
      <c r="E152" s="230"/>
      <c r="F152" s="230"/>
      <c r="G152" s="230"/>
    </row>
    <row r="153" spans="1:7" x14ac:dyDescent="0.2">
      <c r="D153" s="230"/>
      <c r="E153" s="230"/>
      <c r="F153" s="230"/>
      <c r="G153" s="230"/>
    </row>
    <row r="154" spans="1:7" x14ac:dyDescent="0.2">
      <c r="D154" s="230"/>
      <c r="E154" s="230"/>
      <c r="F154" s="230"/>
      <c r="G154" s="230"/>
    </row>
    <row r="155" spans="1:7" x14ac:dyDescent="0.2">
      <c r="D155" s="230"/>
      <c r="E155" s="230"/>
      <c r="F155" s="230"/>
      <c r="G155" s="230"/>
    </row>
    <row r="156" spans="1:7" x14ac:dyDescent="0.2">
      <c r="D156" s="230"/>
      <c r="E156" s="230"/>
      <c r="F156" s="230"/>
      <c r="G156" s="230"/>
    </row>
    <row r="157" spans="1:7" x14ac:dyDescent="0.2">
      <c r="D157" s="230"/>
      <c r="E157" s="230"/>
      <c r="F157" s="230"/>
      <c r="G157" s="230"/>
    </row>
    <row r="158" spans="1:7" x14ac:dyDescent="0.2">
      <c r="D158" s="230"/>
      <c r="E158" s="230"/>
      <c r="F158" s="230"/>
      <c r="G158" s="230"/>
    </row>
    <row r="159" spans="1:7" x14ac:dyDescent="0.2">
      <c r="D159" s="230"/>
      <c r="E159" s="230"/>
      <c r="F159" s="230"/>
      <c r="G159" s="230"/>
    </row>
    <row r="160" spans="1:7" x14ac:dyDescent="0.2">
      <c r="D160" s="230"/>
      <c r="E160" s="230"/>
      <c r="F160" s="230"/>
      <c r="G160" s="230"/>
    </row>
    <row r="161" spans="4:7" x14ac:dyDescent="0.2">
      <c r="D161" s="230"/>
      <c r="E161" s="230"/>
      <c r="F161" s="230"/>
      <c r="G161" s="230"/>
    </row>
    <row r="162" spans="4:7" x14ac:dyDescent="0.2">
      <c r="D162" s="230"/>
      <c r="E162" s="230"/>
      <c r="F162" s="230"/>
      <c r="G162" s="230"/>
    </row>
    <row r="163" spans="4:7" x14ac:dyDescent="0.2">
      <c r="D163" s="230"/>
      <c r="E163" s="230"/>
      <c r="F163" s="230"/>
      <c r="G163" s="230"/>
    </row>
    <row r="164" spans="4:7" x14ac:dyDescent="0.2">
      <c r="D164" s="230"/>
      <c r="E164" s="230"/>
      <c r="F164" s="230"/>
      <c r="G164" s="230"/>
    </row>
    <row r="165" spans="4:7" x14ac:dyDescent="0.2">
      <c r="D165" s="230"/>
      <c r="E165" s="230"/>
      <c r="F165" s="230"/>
      <c r="G165" s="230"/>
    </row>
    <row r="166" spans="4:7" x14ac:dyDescent="0.2">
      <c r="D166" s="230"/>
      <c r="E166" s="230"/>
      <c r="F166" s="230"/>
      <c r="G166" s="230"/>
    </row>
    <row r="167" spans="4:7" x14ac:dyDescent="0.2">
      <c r="D167" s="230"/>
      <c r="E167" s="230"/>
      <c r="F167" s="230"/>
      <c r="G167" s="230"/>
    </row>
    <row r="168" spans="4:7" x14ac:dyDescent="0.2">
      <c r="D168" s="230"/>
      <c r="E168" s="230"/>
      <c r="F168" s="230"/>
      <c r="G168" s="230"/>
    </row>
    <row r="169" spans="4:7" x14ac:dyDescent="0.2">
      <c r="D169" s="230"/>
      <c r="E169" s="230"/>
      <c r="F169" s="230"/>
      <c r="G169" s="230"/>
    </row>
    <row r="170" spans="4:7" x14ac:dyDescent="0.2">
      <c r="D170" s="230"/>
      <c r="E170" s="230"/>
      <c r="F170" s="230"/>
      <c r="G170" s="230"/>
    </row>
    <row r="171" spans="4:7" x14ac:dyDescent="0.2">
      <c r="D171" s="230"/>
      <c r="E171" s="230"/>
      <c r="F171" s="230"/>
      <c r="G171" s="230"/>
    </row>
    <row r="172" spans="4:7" x14ac:dyDescent="0.2">
      <c r="D172" s="230"/>
      <c r="E172" s="230"/>
      <c r="F172" s="230"/>
      <c r="G172" s="230"/>
    </row>
    <row r="173" spans="4:7" x14ac:dyDescent="0.2">
      <c r="D173" s="230"/>
      <c r="E173" s="230"/>
      <c r="F173" s="230"/>
      <c r="G173" s="230"/>
    </row>
    <row r="174" spans="4:7" x14ac:dyDescent="0.2">
      <c r="D174" s="230"/>
      <c r="E174" s="230"/>
      <c r="F174" s="230"/>
      <c r="G174" s="230"/>
    </row>
    <row r="175" spans="4:7" x14ac:dyDescent="0.2">
      <c r="D175" s="230"/>
      <c r="E175" s="230"/>
      <c r="F175" s="230"/>
      <c r="G175" s="230"/>
    </row>
    <row r="176" spans="4:7" x14ac:dyDescent="0.2">
      <c r="D176" s="230"/>
      <c r="E176" s="230"/>
      <c r="F176" s="230"/>
      <c r="G176" s="230"/>
    </row>
    <row r="177" spans="4:7" x14ac:dyDescent="0.2">
      <c r="D177" s="230"/>
      <c r="E177" s="230"/>
      <c r="F177" s="230"/>
      <c r="G177" s="230"/>
    </row>
  </sheetData>
  <sheetProtection selectLockedCells="1" selectUnlockedCells="1"/>
  <mergeCells count="5">
    <mergeCell ref="D1:G1"/>
    <mergeCell ref="A2:B2"/>
    <mergeCell ref="A3:B3"/>
    <mergeCell ref="D4:F4"/>
    <mergeCell ref="A5:B5"/>
  </mergeCells>
  <printOptions horizontalCentered="1"/>
  <pageMargins left="0.31496062992125984" right="0.31496062992125984" top="0.43307086614173229" bottom="0.39370078740157483" header="0.51181102362204722" footer="0.15748031496062992"/>
  <pageSetup paperSize="9" scale="95" firstPageNumber="65" orientation="portrait" useFirstPageNumber="1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view="pageBreakPreview" topLeftCell="B10" zoomScaleNormal="130" workbookViewId="0">
      <selection activeCell="D29" sqref="D29"/>
    </sheetView>
  </sheetViews>
  <sheetFormatPr defaultRowHeight="12.75" x14ac:dyDescent="0.2"/>
  <cols>
    <col min="1" max="1" width="6.6640625" style="161" customWidth="1"/>
    <col min="2" max="2" width="9.6640625" style="162" customWidth="1"/>
    <col min="3" max="3" width="66.33203125" style="162" customWidth="1"/>
    <col min="4" max="4" width="18.33203125" style="162" customWidth="1"/>
    <col min="5" max="6" width="15.33203125" style="162" hidden="1" customWidth="1"/>
    <col min="7" max="7" width="10.1640625" style="162" hidden="1" customWidth="1"/>
    <col min="8" max="16384" width="9.33203125" style="162"/>
  </cols>
  <sheetData>
    <row r="1" spans="1:7" s="449" customFormat="1" ht="21" customHeight="1" x14ac:dyDescent="0.2">
      <c r="A1" s="508"/>
      <c r="B1" s="509"/>
      <c r="C1" s="510"/>
      <c r="D1" s="1609" t="s">
        <v>832</v>
      </c>
      <c r="E1" s="1609"/>
      <c r="F1" s="1609"/>
      <c r="G1" s="1609"/>
    </row>
    <row r="2" spans="1:7" s="165" customFormat="1" ht="33" customHeight="1" x14ac:dyDescent="0.2">
      <c r="A2" s="1573" t="s">
        <v>796</v>
      </c>
      <c r="B2" s="1573"/>
      <c r="C2" s="163" t="s">
        <v>797</v>
      </c>
      <c r="D2" s="469"/>
      <c r="E2" s="469"/>
      <c r="F2" s="469"/>
      <c r="G2" s="469"/>
    </row>
    <row r="3" spans="1:7" s="165" customFormat="1" ht="33" customHeight="1" x14ac:dyDescent="0.2">
      <c r="A3" s="1571" t="s">
        <v>264</v>
      </c>
      <c r="B3" s="1571"/>
      <c r="C3" s="166" t="s">
        <v>833</v>
      </c>
      <c r="D3" s="450"/>
      <c r="E3" s="450"/>
      <c r="F3" s="450"/>
      <c r="G3" s="450"/>
    </row>
    <row r="4" spans="1:7" s="169" customFormat="1" ht="15.95" customHeight="1" x14ac:dyDescent="0.25">
      <c r="A4" s="167"/>
      <c r="B4" s="167"/>
      <c r="C4" s="167"/>
      <c r="D4" s="1590"/>
      <c r="E4" s="1590"/>
      <c r="F4" s="1590"/>
      <c r="G4" s="168" t="s">
        <v>196</v>
      </c>
    </row>
    <row r="5" spans="1:7" ht="30.7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175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175" customFormat="1" ht="15.9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112">
        <f>SUM(D9:D16)</f>
        <v>0</v>
      </c>
      <c r="E8" s="112">
        <f>SUM(E9:E16)</f>
        <v>0</v>
      </c>
      <c r="F8" s="112">
        <f>SUM(F9:F16)</f>
        <v>0</v>
      </c>
      <c r="G8" s="112"/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/>
      <c r="E9" s="257"/>
      <c r="F9" s="257"/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/>
      <c r="E10" s="255"/>
      <c r="F10" s="255"/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/>
      <c r="E11" s="255"/>
      <c r="F11" s="255"/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/>
      <c r="E12" s="255"/>
      <c r="F12" s="255"/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/>
      <c r="E13" s="255"/>
      <c r="F13" s="255"/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/>
      <c r="E14" s="256"/>
      <c r="F14" s="256"/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/>
      <c r="E15" s="255"/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/>
      <c r="E16" s="258"/>
      <c r="F16" s="258"/>
      <c r="G16" s="258"/>
    </row>
    <row r="17" spans="1:9" s="183" customFormat="1" ht="15" customHeight="1" x14ac:dyDescent="0.2">
      <c r="A17" s="180" t="s">
        <v>6</v>
      </c>
      <c r="B17" s="181"/>
      <c r="C17" s="222" t="s">
        <v>1963</v>
      </c>
      <c r="D17" s="254">
        <f>SUM(D18:D21)</f>
        <v>10195</v>
      </c>
      <c r="E17" s="254">
        <f>SUM(E18:E21)</f>
        <v>0</v>
      </c>
      <c r="F17" s="254">
        <f>SUM(F18:F21)</f>
        <v>0</v>
      </c>
      <c r="G17" s="254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1964</v>
      </c>
      <c r="D18" s="255">
        <v>10195</v>
      </c>
      <c r="E18" s="255"/>
      <c r="F18" s="255"/>
      <c r="G18" s="255" t="e">
        <f>F18/E18*100</f>
        <v>#DIV/0!</v>
      </c>
    </row>
    <row r="19" spans="1:9" s="187" customFormat="1" ht="15" customHeight="1" x14ac:dyDescent="0.2">
      <c r="A19" s="184"/>
      <c r="B19" s="185" t="s">
        <v>9</v>
      </c>
      <c r="C19" s="15" t="s">
        <v>1965</v>
      </c>
      <c r="D19" s="255"/>
      <c r="E19" s="255"/>
      <c r="F19" s="255"/>
      <c r="G19" s="255"/>
    </row>
    <row r="20" spans="1:9" s="187" customFormat="1" ht="15" customHeight="1" x14ac:dyDescent="0.2">
      <c r="A20" s="184"/>
      <c r="B20" s="185" t="s">
        <v>11</v>
      </c>
      <c r="C20" s="15" t="s">
        <v>802</v>
      </c>
      <c r="D20" s="255"/>
      <c r="E20" s="255"/>
      <c r="F20" s="255"/>
      <c r="G20" s="255"/>
    </row>
    <row r="21" spans="1:9" s="187" customFormat="1" ht="15" customHeight="1" x14ac:dyDescent="0.2">
      <c r="A21" s="184"/>
      <c r="B21" s="185" t="s">
        <v>13</v>
      </c>
      <c r="C21" s="15" t="s">
        <v>803</v>
      </c>
      <c r="D21" s="255"/>
      <c r="E21" s="255"/>
      <c r="F21" s="255"/>
      <c r="G21" s="255"/>
    </row>
    <row r="22" spans="1:9" s="187" customFormat="1" ht="15" customHeight="1" x14ac:dyDescent="0.2">
      <c r="A22" s="180" t="s">
        <v>20</v>
      </c>
      <c r="B22" s="12"/>
      <c r="C22" s="12" t="s">
        <v>804</v>
      </c>
      <c r="D22" s="220"/>
      <c r="E22" s="220"/>
      <c r="F22" s="220"/>
      <c r="G22" s="220"/>
    </row>
    <row r="23" spans="1:9" s="187" customFormat="1" ht="15" customHeight="1" x14ac:dyDescent="0.2">
      <c r="A23" s="180" t="s">
        <v>150</v>
      </c>
      <c r="B23" s="12"/>
      <c r="C23" s="12" t="s">
        <v>805</v>
      </c>
      <c r="D23" s="255"/>
      <c r="E23" s="255"/>
      <c r="F23" s="255"/>
      <c r="G23" s="255"/>
    </row>
    <row r="24" spans="1:9" s="183" customFormat="1" ht="15" customHeight="1" x14ac:dyDescent="0.2">
      <c r="A24" s="180" t="s">
        <v>39</v>
      </c>
      <c r="B24" s="181"/>
      <c r="C24" s="12" t="s">
        <v>806</v>
      </c>
      <c r="D24" s="255"/>
      <c r="E24" s="255"/>
      <c r="F24" s="255"/>
      <c r="G24" s="255"/>
    </row>
    <row r="25" spans="1:9" s="183" customFormat="1" ht="15" customHeight="1" x14ac:dyDescent="0.2">
      <c r="A25" s="180" t="s">
        <v>49</v>
      </c>
      <c r="B25" s="209"/>
      <c r="C25" s="12" t="s">
        <v>807</v>
      </c>
      <c r="D25" s="266">
        <f>+D26+D27</f>
        <v>0</v>
      </c>
      <c r="E25" s="266">
        <f>+E26+E27</f>
        <v>0</v>
      </c>
      <c r="F25" s="266">
        <f>+F26+F27</f>
        <v>0</v>
      </c>
      <c r="G25" s="266"/>
    </row>
    <row r="26" spans="1:9" s="183" customFormat="1" ht="15" customHeight="1" x14ac:dyDescent="0.2">
      <c r="A26" s="192"/>
      <c r="B26" s="199" t="s">
        <v>50</v>
      </c>
      <c r="C26" s="19" t="s">
        <v>808</v>
      </c>
      <c r="D26" s="255"/>
      <c r="E26" s="255"/>
      <c r="F26" s="255"/>
      <c r="G26" s="255"/>
    </row>
    <row r="27" spans="1:9" s="183" customFormat="1" ht="15" customHeight="1" x14ac:dyDescent="0.2">
      <c r="A27" s="202"/>
      <c r="B27" s="203" t="s">
        <v>63</v>
      </c>
      <c r="C27" s="24" t="s">
        <v>809</v>
      </c>
      <c r="D27" s="255"/>
      <c r="E27" s="255"/>
      <c r="F27" s="255">
        <v>0</v>
      </c>
      <c r="G27" s="255"/>
    </row>
    <row r="28" spans="1:9" s="187" customFormat="1" ht="15" customHeight="1" x14ac:dyDescent="0.25">
      <c r="A28" s="212" t="s">
        <v>179</v>
      </c>
      <c r="B28" s="213"/>
      <c r="C28" s="12" t="s">
        <v>282</v>
      </c>
      <c r="D28" s="255">
        <v>153915</v>
      </c>
      <c r="E28" s="255"/>
      <c r="F28" s="255"/>
      <c r="G28" s="255" t="e">
        <f>F28/E28*100</f>
        <v>#DIV/0!</v>
      </c>
      <c r="I28" s="201">
        <f>SUM(D46-D30)</f>
        <v>0</v>
      </c>
    </row>
    <row r="29" spans="1:9" s="187" customFormat="1" ht="15" customHeight="1" x14ac:dyDescent="0.25">
      <c r="A29" s="212"/>
      <c r="B29" s="213"/>
      <c r="C29" s="12" t="s">
        <v>810</v>
      </c>
      <c r="D29" s="220"/>
      <c r="E29" s="220"/>
      <c r="F29" s="220"/>
      <c r="G29" s="220"/>
    </row>
    <row r="30" spans="1:9" s="187" customFormat="1" ht="15" customHeight="1" x14ac:dyDescent="0.2">
      <c r="A30" s="268" t="s">
        <v>75</v>
      </c>
      <c r="B30" s="269"/>
      <c r="C30" s="480" t="s">
        <v>811</v>
      </c>
      <c r="D30" s="270">
        <f>SUM(D8,D17,D22,D23,D24,D25,D28)</f>
        <v>164110</v>
      </c>
      <c r="E30" s="270">
        <f>SUM(E8,E17,E22,E23,E24,E25,E28,E29)</f>
        <v>0</v>
      </c>
      <c r="F30" s="270">
        <f>SUM(F8,F17,F22,F23,F24,F25,F28,F29)</f>
        <v>0</v>
      </c>
      <c r="G30" s="270" t="e">
        <f>F30/E30*100</f>
        <v>#DIV/0!</v>
      </c>
    </row>
    <row r="31" spans="1:9" ht="15" customHeight="1" x14ac:dyDescent="0.2">
      <c r="A31" s="242"/>
      <c r="B31" s="243"/>
      <c r="C31" s="243"/>
      <c r="D31" s="243"/>
      <c r="E31" s="243"/>
      <c r="F31" s="243"/>
      <c r="G31" s="243"/>
    </row>
    <row r="32" spans="1:9" s="175" customFormat="1" ht="15" customHeight="1" x14ac:dyDescent="0.2">
      <c r="A32" s="268"/>
      <c r="B32" s="269"/>
      <c r="C32" s="513" t="s">
        <v>199</v>
      </c>
      <c r="D32" s="270"/>
      <c r="E32" s="270"/>
      <c r="F32" s="270"/>
      <c r="G32" s="270"/>
    </row>
    <row r="33" spans="1:7" s="232" customFormat="1" ht="15" customHeight="1" x14ac:dyDescent="0.2">
      <c r="A33" s="180" t="s">
        <v>5</v>
      </c>
      <c r="B33" s="12"/>
      <c r="C33" s="67" t="s">
        <v>102</v>
      </c>
      <c r="D33" s="254">
        <f>SUM(D34:D38)</f>
        <v>139610</v>
      </c>
      <c r="E33" s="254">
        <f>SUM(E34:E38)</f>
        <v>0</v>
      </c>
      <c r="F33" s="254">
        <f>SUM(F34:F38)</f>
        <v>0</v>
      </c>
      <c r="G33" s="254" t="e">
        <f>F33/E33*100</f>
        <v>#DIV/0!</v>
      </c>
    </row>
    <row r="34" spans="1:7" ht="15" customHeight="1" x14ac:dyDescent="0.2">
      <c r="A34" s="204"/>
      <c r="B34" s="231" t="s">
        <v>103</v>
      </c>
      <c r="C34" s="27" t="s">
        <v>104</v>
      </c>
      <c r="D34" s="262">
        <v>83460</v>
      </c>
      <c r="E34" s="262"/>
      <c r="F34" s="262"/>
      <c r="G34" s="262" t="e">
        <f>F34/E34*100</f>
        <v>#DIV/0!</v>
      </c>
    </row>
    <row r="35" spans="1:7" ht="15" customHeight="1" x14ac:dyDescent="0.2">
      <c r="A35" s="184"/>
      <c r="B35" s="200" t="s">
        <v>105</v>
      </c>
      <c r="C35" s="15" t="s">
        <v>106</v>
      </c>
      <c r="D35" s="255">
        <v>22064</v>
      </c>
      <c r="E35" s="255"/>
      <c r="F35" s="255"/>
      <c r="G35" s="255" t="e">
        <f>F35/E35*100</f>
        <v>#DIV/0!</v>
      </c>
    </row>
    <row r="36" spans="1:7" ht="15" customHeight="1" x14ac:dyDescent="0.2">
      <c r="A36" s="184"/>
      <c r="B36" s="200" t="s">
        <v>107</v>
      </c>
      <c r="C36" s="15" t="s">
        <v>108</v>
      </c>
      <c r="D36" s="255">
        <v>34086</v>
      </c>
      <c r="E36" s="255"/>
      <c r="F36" s="255"/>
      <c r="G36" s="255" t="e">
        <f>F36/E36*100</f>
        <v>#DIV/0!</v>
      </c>
    </row>
    <row r="37" spans="1:7" ht="15" customHeight="1" x14ac:dyDescent="0.2">
      <c r="A37" s="184"/>
      <c r="B37" s="200" t="s">
        <v>109</v>
      </c>
      <c r="C37" s="15" t="s">
        <v>110</v>
      </c>
      <c r="D37" s="255"/>
      <c r="E37" s="255"/>
      <c r="F37" s="255"/>
      <c r="G37" s="255"/>
    </row>
    <row r="38" spans="1:7" ht="15" customHeight="1" x14ac:dyDescent="0.2">
      <c r="A38" s="184"/>
      <c r="B38" s="200" t="s">
        <v>111</v>
      </c>
      <c r="C38" s="15" t="s">
        <v>112</v>
      </c>
      <c r="D38" s="255"/>
      <c r="E38" s="255"/>
      <c r="F38" s="255"/>
      <c r="G38" s="255"/>
    </row>
    <row r="39" spans="1:7" ht="15" customHeight="1" x14ac:dyDescent="0.2">
      <c r="A39" s="180" t="s">
        <v>6</v>
      </c>
      <c r="B39" s="12"/>
      <c r="C39" s="67" t="s">
        <v>823</v>
      </c>
      <c r="D39" s="254">
        <f>SUM(D40:D43)</f>
        <v>24500</v>
      </c>
      <c r="E39" s="254">
        <f>SUM(E40:E43)</f>
        <v>0</v>
      </c>
      <c r="F39" s="254">
        <f>SUM(F40:F43)</f>
        <v>0</v>
      </c>
      <c r="G39" s="254"/>
    </row>
    <row r="40" spans="1:7" s="232" customFormat="1" ht="15" customHeight="1" x14ac:dyDescent="0.2">
      <c r="A40" s="204"/>
      <c r="B40" s="231" t="s">
        <v>7</v>
      </c>
      <c r="C40" s="27" t="s">
        <v>816</v>
      </c>
      <c r="D40" s="262">
        <v>24500</v>
      </c>
      <c r="E40" s="262"/>
      <c r="F40" s="262"/>
      <c r="G40" s="262"/>
    </row>
    <row r="41" spans="1:7" ht="15" customHeight="1" x14ac:dyDescent="0.2">
      <c r="A41" s="184"/>
      <c r="B41" s="200" t="s">
        <v>9</v>
      </c>
      <c r="C41" s="15" t="s">
        <v>135</v>
      </c>
      <c r="D41" s="255"/>
      <c r="E41" s="255"/>
      <c r="F41" s="255"/>
      <c r="G41" s="255"/>
    </row>
    <row r="42" spans="1:7" ht="30" customHeight="1" x14ac:dyDescent="0.2">
      <c r="A42" s="184"/>
      <c r="B42" s="200" t="s">
        <v>15</v>
      </c>
      <c r="C42" s="15" t="s">
        <v>138</v>
      </c>
      <c r="D42" s="255"/>
      <c r="E42" s="255"/>
      <c r="F42" s="255"/>
      <c r="G42" s="255"/>
    </row>
    <row r="43" spans="1:7" ht="15" customHeight="1" x14ac:dyDescent="0.2">
      <c r="A43" s="184"/>
      <c r="B43" s="200" t="s">
        <v>19</v>
      </c>
      <c r="C43" s="15" t="s">
        <v>817</v>
      </c>
      <c r="D43" s="255"/>
      <c r="E43" s="255"/>
      <c r="F43" s="255"/>
      <c r="G43" s="255"/>
    </row>
    <row r="44" spans="1:7" ht="15" customHeight="1" x14ac:dyDescent="0.2">
      <c r="A44" s="180" t="s">
        <v>20</v>
      </c>
      <c r="B44" s="12"/>
      <c r="C44" s="67" t="s">
        <v>818</v>
      </c>
      <c r="D44" s="220"/>
      <c r="E44" s="220"/>
      <c r="F44" s="220"/>
      <c r="G44" s="220"/>
    </row>
    <row r="45" spans="1:7" s="187" customFormat="1" ht="15" customHeight="1" x14ac:dyDescent="0.2">
      <c r="A45" s="180"/>
      <c r="B45" s="12"/>
      <c r="C45" s="67" t="s">
        <v>819</v>
      </c>
      <c r="D45" s="220"/>
      <c r="E45" s="220"/>
      <c r="F45" s="220"/>
      <c r="G45" s="220"/>
    </row>
    <row r="46" spans="1:7" ht="15" customHeight="1" x14ac:dyDescent="0.2">
      <c r="A46" s="268" t="s">
        <v>150</v>
      </c>
      <c r="B46" s="269"/>
      <c r="C46" s="480" t="s">
        <v>820</v>
      </c>
      <c r="D46" s="270">
        <f>+D33+D39+D44</f>
        <v>164110</v>
      </c>
      <c r="E46" s="270">
        <f>+E33+E39+E44+E45</f>
        <v>0</v>
      </c>
      <c r="F46" s="270">
        <f>+F33+F39+F44+F45</f>
        <v>0</v>
      </c>
      <c r="G46" s="270" t="e">
        <f>F46/E46*100</f>
        <v>#DIV/0!</v>
      </c>
    </row>
    <row r="47" spans="1:7" ht="15" customHeight="1" x14ac:dyDescent="0.2">
      <c r="A47" s="242"/>
      <c r="B47" s="243"/>
      <c r="C47" s="243"/>
      <c r="D47" s="243"/>
      <c r="E47" s="243"/>
      <c r="F47" s="243"/>
      <c r="G47" s="243"/>
    </row>
    <row r="48" spans="1:7" ht="15" customHeight="1" x14ac:dyDescent="0.2">
      <c r="A48" s="244" t="s">
        <v>297</v>
      </c>
      <c r="B48" s="245"/>
      <c r="C48" s="246"/>
      <c r="D48" s="247">
        <v>21.5</v>
      </c>
      <c r="E48" s="247"/>
      <c r="F48" s="247"/>
      <c r="G48" s="247"/>
    </row>
    <row r="49" spans="1:7" ht="15" customHeight="1" x14ac:dyDescent="0.2">
      <c r="A49" s="244" t="s">
        <v>298</v>
      </c>
      <c r="B49" s="245"/>
      <c r="C49" s="246"/>
      <c r="D49" s="482"/>
      <c r="E49" s="482"/>
      <c r="F49" s="482"/>
      <c r="G49" s="482"/>
    </row>
  </sheetData>
  <sheetProtection selectLockedCells="1" selectUnlockedCells="1"/>
  <mergeCells count="5">
    <mergeCell ref="D1:G1"/>
    <mergeCell ref="A2:B2"/>
    <mergeCell ref="A3:B3"/>
    <mergeCell ref="D4:F4"/>
    <mergeCell ref="A5:B5"/>
  </mergeCells>
  <printOptions horizontalCentered="1"/>
  <pageMargins left="0.43307086614173229" right="0.31496062992125984" top="0.31496062992125984" bottom="0.43307086614173229" header="0.51181102362204722" footer="0.15748031496062992"/>
  <pageSetup paperSize="9" scale="95" firstPageNumber="66" orientation="portrait" useFirstPageNumber="1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view="pageBreakPreview" topLeftCell="A13" zoomScaleNormal="130" workbookViewId="0">
      <selection activeCell="D29" sqref="D29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7" style="162" customWidth="1"/>
    <col min="4" max="4" width="18.83203125" style="162" customWidth="1"/>
    <col min="5" max="6" width="13.5" style="162" hidden="1" customWidth="1"/>
    <col min="7" max="7" width="10.33203125" style="162" hidden="1" customWidth="1"/>
    <col min="8" max="16384" width="9.33203125" style="162"/>
  </cols>
  <sheetData>
    <row r="1" spans="1:7" s="449" customFormat="1" ht="21" customHeight="1" x14ac:dyDescent="0.2">
      <c r="A1" s="446"/>
      <c r="B1" s="447"/>
      <c r="C1" s="448"/>
      <c r="D1" s="1609" t="s">
        <v>834</v>
      </c>
      <c r="E1" s="1609"/>
      <c r="F1" s="1609"/>
      <c r="G1" s="1609"/>
    </row>
    <row r="2" spans="1:7" s="165" customFormat="1" ht="31.5" customHeight="1" x14ac:dyDescent="0.2">
      <c r="A2" s="1573" t="s">
        <v>796</v>
      </c>
      <c r="B2" s="1573"/>
      <c r="C2" s="163" t="s">
        <v>797</v>
      </c>
      <c r="D2" s="469"/>
      <c r="E2" s="469"/>
      <c r="F2" s="469"/>
      <c r="G2" s="469"/>
    </row>
    <row r="3" spans="1:7" s="165" customFormat="1" ht="30.75" customHeight="1" x14ac:dyDescent="0.2">
      <c r="A3" s="1571" t="s">
        <v>264</v>
      </c>
      <c r="B3" s="1571"/>
      <c r="C3" s="166" t="s">
        <v>835</v>
      </c>
      <c r="D3" s="450"/>
      <c r="E3" s="450"/>
      <c r="F3" s="450"/>
      <c r="G3" s="450"/>
    </row>
    <row r="4" spans="1:7" s="169" customFormat="1" ht="15.95" customHeight="1" x14ac:dyDescent="0.25">
      <c r="A4" s="167"/>
      <c r="B4" s="167"/>
      <c r="C4" s="167"/>
      <c r="D4" s="1590"/>
      <c r="E4" s="1590"/>
      <c r="F4" s="1590"/>
      <c r="G4" s="168" t="s">
        <v>196</v>
      </c>
    </row>
    <row r="5" spans="1:7" ht="31.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175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175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/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/>
      <c r="E9" s="257"/>
      <c r="F9" s="257"/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/>
      <c r="E10" s="255"/>
      <c r="F10" s="255"/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/>
      <c r="E11" s="255"/>
      <c r="F11" s="255"/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/>
      <c r="E12" s="255"/>
      <c r="F12" s="255"/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/>
      <c r="E13" s="255"/>
      <c r="F13" s="255"/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/>
      <c r="E14" s="256"/>
      <c r="F14" s="256"/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/>
      <c r="E15" s="255"/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/>
      <c r="E16" s="258"/>
      <c r="F16" s="258"/>
      <c r="G16" s="258"/>
    </row>
    <row r="17" spans="1:9" s="183" customFormat="1" ht="15" customHeight="1" x14ac:dyDescent="0.2">
      <c r="A17" s="180" t="s">
        <v>6</v>
      </c>
      <c r="B17" s="181"/>
      <c r="C17" s="222" t="s">
        <v>1963</v>
      </c>
      <c r="D17" s="254">
        <f>SUM(D18:D21)</f>
        <v>3675</v>
      </c>
      <c r="E17" s="254">
        <f>SUM(E18:E21)</f>
        <v>0</v>
      </c>
      <c r="F17" s="254">
        <f>SUM(F18:F21)</f>
        <v>0</v>
      </c>
      <c r="G17" s="254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1964</v>
      </c>
      <c r="D18" s="255">
        <v>3675</v>
      </c>
      <c r="E18" s="255"/>
      <c r="F18" s="255"/>
      <c r="G18" s="255" t="e">
        <f>F18/E18*100</f>
        <v>#DIV/0!</v>
      </c>
    </row>
    <row r="19" spans="1:9" s="187" customFormat="1" ht="15" customHeight="1" x14ac:dyDescent="0.2">
      <c r="A19" s="184"/>
      <c r="B19" s="185" t="s">
        <v>9</v>
      </c>
      <c r="C19" s="15" t="s">
        <v>1965</v>
      </c>
      <c r="D19" s="255"/>
      <c r="E19" s="255"/>
      <c r="F19" s="255"/>
      <c r="G19" s="255"/>
    </row>
    <row r="20" spans="1:9" s="187" customFormat="1" ht="15" customHeight="1" x14ac:dyDescent="0.2">
      <c r="A20" s="184"/>
      <c r="B20" s="185" t="s">
        <v>11</v>
      </c>
      <c r="C20" s="15" t="s">
        <v>802</v>
      </c>
      <c r="D20" s="255"/>
      <c r="E20" s="255"/>
      <c r="F20" s="255"/>
      <c r="G20" s="255"/>
    </row>
    <row r="21" spans="1:9" s="187" customFormat="1" ht="15" customHeight="1" x14ac:dyDescent="0.2">
      <c r="A21" s="184"/>
      <c r="B21" s="185" t="s">
        <v>13</v>
      </c>
      <c r="C21" s="15" t="s">
        <v>803</v>
      </c>
      <c r="D21" s="255"/>
      <c r="E21" s="255"/>
      <c r="F21" s="255"/>
      <c r="G21" s="255"/>
    </row>
    <row r="22" spans="1:9" s="187" customFormat="1" ht="15" customHeight="1" x14ac:dyDescent="0.2">
      <c r="A22" s="180" t="s">
        <v>20</v>
      </c>
      <c r="B22" s="12"/>
      <c r="C22" s="12" t="s">
        <v>804</v>
      </c>
      <c r="D22" s="220">
        <v>0</v>
      </c>
      <c r="E22" s="220">
        <v>0</v>
      </c>
      <c r="F22" s="220">
        <v>0</v>
      </c>
      <c r="G22" s="220"/>
    </row>
    <row r="23" spans="1:9" s="187" customFormat="1" ht="15" customHeight="1" x14ac:dyDescent="0.2">
      <c r="A23" s="180" t="s">
        <v>150</v>
      </c>
      <c r="B23" s="12"/>
      <c r="C23" s="12" t="s">
        <v>805</v>
      </c>
      <c r="D23" s="220">
        <v>0</v>
      </c>
      <c r="E23" s="220">
        <v>0</v>
      </c>
      <c r="F23" s="220">
        <v>0</v>
      </c>
      <c r="G23" s="220"/>
    </row>
    <row r="24" spans="1:9" s="183" customFormat="1" ht="15" customHeight="1" x14ac:dyDescent="0.2">
      <c r="A24" s="180" t="s">
        <v>39</v>
      </c>
      <c r="B24" s="181"/>
      <c r="C24" s="12" t="s">
        <v>806</v>
      </c>
      <c r="D24" s="220">
        <v>0</v>
      </c>
      <c r="E24" s="220">
        <v>0</v>
      </c>
      <c r="F24" s="220">
        <v>0</v>
      </c>
      <c r="G24" s="220"/>
    </row>
    <row r="25" spans="1:9" s="183" customFormat="1" ht="15" customHeight="1" x14ac:dyDescent="0.2">
      <c r="A25" s="180" t="s">
        <v>49</v>
      </c>
      <c r="B25" s="209"/>
      <c r="C25" s="12" t="s">
        <v>807</v>
      </c>
      <c r="D25" s="254">
        <f>+D26+D27</f>
        <v>0</v>
      </c>
      <c r="E25" s="254">
        <f>+E26+E27</f>
        <v>0</v>
      </c>
      <c r="F25" s="254">
        <f>+F26+F27</f>
        <v>0</v>
      </c>
      <c r="G25" s="254"/>
    </row>
    <row r="26" spans="1:9" s="183" customFormat="1" ht="15" customHeight="1" x14ac:dyDescent="0.2">
      <c r="A26" s="192"/>
      <c r="B26" s="199" t="s">
        <v>50</v>
      </c>
      <c r="C26" s="19" t="s">
        <v>808</v>
      </c>
      <c r="D26" s="255"/>
      <c r="E26" s="255"/>
      <c r="F26" s="255"/>
      <c r="G26" s="255"/>
    </row>
    <row r="27" spans="1:9" s="183" customFormat="1" ht="15" customHeight="1" x14ac:dyDescent="0.2">
      <c r="A27" s="202"/>
      <c r="B27" s="203" t="s">
        <v>63</v>
      </c>
      <c r="C27" s="24" t="s">
        <v>809</v>
      </c>
      <c r="D27" s="258"/>
      <c r="E27" s="258"/>
      <c r="F27" s="258"/>
      <c r="G27" s="258"/>
    </row>
    <row r="28" spans="1:9" s="187" customFormat="1" ht="15" customHeight="1" x14ac:dyDescent="0.25">
      <c r="A28" s="212" t="s">
        <v>179</v>
      </c>
      <c r="B28" s="213"/>
      <c r="C28" s="12" t="s">
        <v>282</v>
      </c>
      <c r="D28" s="457">
        <v>39074</v>
      </c>
      <c r="E28" s="457"/>
      <c r="F28" s="457"/>
      <c r="G28" s="457" t="e">
        <f>F28/E28*100</f>
        <v>#DIV/0!</v>
      </c>
      <c r="I28" s="201">
        <f>SUM(D47-D30)</f>
        <v>0</v>
      </c>
    </row>
    <row r="29" spans="1:9" s="187" customFormat="1" ht="15" customHeight="1" x14ac:dyDescent="0.25">
      <c r="A29" s="212"/>
      <c r="B29" s="213"/>
      <c r="C29" s="12" t="s">
        <v>810</v>
      </c>
      <c r="D29" s="220"/>
      <c r="E29" s="220"/>
      <c r="F29" s="220"/>
      <c r="G29" s="220"/>
    </row>
    <row r="30" spans="1:9" s="187" customFormat="1" ht="15" customHeight="1" x14ac:dyDescent="0.2">
      <c r="A30" s="268" t="s">
        <v>75</v>
      </c>
      <c r="B30" s="269"/>
      <c r="C30" s="480" t="s">
        <v>811</v>
      </c>
      <c r="D30" s="270">
        <f>SUM(D8,D17,D22,D23,D24,D25,D28)</f>
        <v>42749</v>
      </c>
      <c r="E30" s="270">
        <f>SUM(E8,E17,E22,E23,E24,E25,E28,E29)</f>
        <v>0</v>
      </c>
      <c r="F30" s="270">
        <f>SUM(F8,F17,F22,F23,F24,F25,F28,F29)</f>
        <v>0</v>
      </c>
      <c r="G30" s="270" t="e">
        <f>F30/E30*100</f>
        <v>#DIV/0!</v>
      </c>
    </row>
    <row r="31" spans="1:9" s="187" customFormat="1" ht="15" customHeight="1" x14ac:dyDescent="0.2">
      <c r="A31" s="462"/>
      <c r="B31" s="462"/>
      <c r="C31" s="481"/>
      <c r="D31" s="514"/>
      <c r="E31" s="514"/>
      <c r="F31" s="514"/>
      <c r="G31" s="514"/>
    </row>
    <row r="32" spans="1:9" ht="15" customHeight="1" x14ac:dyDescent="0.2">
      <c r="A32" s="242"/>
      <c r="B32" s="243"/>
      <c r="C32" s="243"/>
      <c r="D32" s="516"/>
      <c r="E32" s="516"/>
      <c r="F32" s="516"/>
      <c r="G32" s="516"/>
    </row>
    <row r="33" spans="1:7" s="175" customFormat="1" ht="15" customHeight="1" x14ac:dyDescent="0.2">
      <c r="A33" s="268"/>
      <c r="B33" s="269"/>
      <c r="C33" s="513" t="s">
        <v>199</v>
      </c>
      <c r="D33" s="270"/>
      <c r="E33" s="270"/>
      <c r="F33" s="270"/>
      <c r="G33" s="270"/>
    </row>
    <row r="34" spans="1:7" s="232" customFormat="1" ht="15" customHeight="1" x14ac:dyDescent="0.2">
      <c r="A34" s="180" t="s">
        <v>5</v>
      </c>
      <c r="B34" s="12"/>
      <c r="C34" s="67" t="s">
        <v>102</v>
      </c>
      <c r="D34" s="254">
        <f>SUM(D35:D39)</f>
        <v>42749</v>
      </c>
      <c r="E34" s="254">
        <f>SUM(E35:E39)</f>
        <v>0</v>
      </c>
      <c r="F34" s="254">
        <f>SUM(F35:F39)</f>
        <v>0</v>
      </c>
      <c r="G34" s="254" t="e">
        <f>F34/E34*100</f>
        <v>#DIV/0!</v>
      </c>
    </row>
    <row r="35" spans="1:7" ht="15" customHeight="1" x14ac:dyDescent="0.2">
      <c r="A35" s="204"/>
      <c r="B35" s="231" t="s">
        <v>103</v>
      </c>
      <c r="C35" s="27" t="s">
        <v>104</v>
      </c>
      <c r="D35" s="262">
        <v>26956</v>
      </c>
      <c r="E35" s="262"/>
      <c r="F35" s="262"/>
      <c r="G35" s="262" t="e">
        <f>F35/E35*100</f>
        <v>#DIV/0!</v>
      </c>
    </row>
    <row r="36" spans="1:7" ht="15" customHeight="1" x14ac:dyDescent="0.2">
      <c r="A36" s="184"/>
      <c r="B36" s="200" t="s">
        <v>105</v>
      </c>
      <c r="C36" s="15" t="s">
        <v>106</v>
      </c>
      <c r="D36" s="255">
        <v>7138</v>
      </c>
      <c r="E36" s="255"/>
      <c r="F36" s="255"/>
      <c r="G36" s="255" t="e">
        <f>F36/E36*100</f>
        <v>#DIV/0!</v>
      </c>
    </row>
    <row r="37" spans="1:7" ht="15" customHeight="1" x14ac:dyDescent="0.2">
      <c r="A37" s="184"/>
      <c r="B37" s="200" t="s">
        <v>107</v>
      </c>
      <c r="C37" s="15" t="s">
        <v>108</v>
      </c>
      <c r="D37" s="255">
        <v>8655</v>
      </c>
      <c r="E37" s="255"/>
      <c r="F37" s="255"/>
      <c r="G37" s="255" t="e">
        <f>F37/E37*100</f>
        <v>#DIV/0!</v>
      </c>
    </row>
    <row r="38" spans="1:7" ht="15" customHeight="1" x14ac:dyDescent="0.2">
      <c r="A38" s="184"/>
      <c r="B38" s="200" t="s">
        <v>109</v>
      </c>
      <c r="C38" s="15" t="s">
        <v>110</v>
      </c>
      <c r="D38" s="255"/>
      <c r="E38" s="255"/>
      <c r="F38" s="255"/>
      <c r="G38" s="255"/>
    </row>
    <row r="39" spans="1:7" ht="15" customHeight="1" x14ac:dyDescent="0.2">
      <c r="A39" s="184"/>
      <c r="B39" s="200" t="s">
        <v>111</v>
      </c>
      <c r="C39" s="15" t="s">
        <v>112</v>
      </c>
      <c r="D39" s="255"/>
      <c r="E39" s="255"/>
      <c r="F39" s="255"/>
      <c r="G39" s="255"/>
    </row>
    <row r="40" spans="1:7" ht="15" customHeight="1" x14ac:dyDescent="0.2">
      <c r="A40" s="180" t="s">
        <v>6</v>
      </c>
      <c r="B40" s="12"/>
      <c r="C40" s="67" t="s">
        <v>823</v>
      </c>
      <c r="D40" s="254">
        <f>SUM(D41:D44)</f>
        <v>0</v>
      </c>
      <c r="E40" s="254">
        <f>SUM(E41:E44)</f>
        <v>0</v>
      </c>
      <c r="F40" s="254">
        <f>SUM(F41:F44)</f>
        <v>0</v>
      </c>
      <c r="G40" s="254"/>
    </row>
    <row r="41" spans="1:7" s="232" customFormat="1" ht="15" customHeight="1" x14ac:dyDescent="0.2">
      <c r="A41" s="204"/>
      <c r="B41" s="231" t="s">
        <v>7</v>
      </c>
      <c r="C41" s="27" t="s">
        <v>816</v>
      </c>
      <c r="D41" s="262"/>
      <c r="E41" s="262"/>
      <c r="F41" s="262"/>
      <c r="G41" s="262"/>
    </row>
    <row r="42" spans="1:7" ht="15" customHeight="1" x14ac:dyDescent="0.2">
      <c r="A42" s="184"/>
      <c r="B42" s="200" t="s">
        <v>9</v>
      </c>
      <c r="C42" s="15" t="s">
        <v>135</v>
      </c>
      <c r="D42" s="255"/>
      <c r="E42" s="255"/>
      <c r="F42" s="255"/>
      <c r="G42" s="255"/>
    </row>
    <row r="43" spans="1:7" ht="15" customHeight="1" x14ac:dyDescent="0.2">
      <c r="A43" s="184"/>
      <c r="B43" s="200" t="s">
        <v>15</v>
      </c>
      <c r="C43" s="15" t="s">
        <v>138</v>
      </c>
      <c r="D43" s="255"/>
      <c r="E43" s="255"/>
      <c r="F43" s="255"/>
      <c r="G43" s="255"/>
    </row>
    <row r="44" spans="1:7" ht="15" customHeight="1" x14ac:dyDescent="0.2">
      <c r="A44" s="184"/>
      <c r="B44" s="200" t="s">
        <v>19</v>
      </c>
      <c r="C44" s="15" t="s">
        <v>817</v>
      </c>
      <c r="D44" s="255"/>
      <c r="E44" s="255"/>
      <c r="F44" s="255"/>
      <c r="G44" s="255"/>
    </row>
    <row r="45" spans="1:7" ht="15" customHeight="1" x14ac:dyDescent="0.2">
      <c r="A45" s="180" t="s">
        <v>20</v>
      </c>
      <c r="B45" s="12"/>
      <c r="C45" s="67" t="s">
        <v>818</v>
      </c>
      <c r="D45" s="220"/>
      <c r="E45" s="220"/>
      <c r="F45" s="220"/>
      <c r="G45" s="220"/>
    </row>
    <row r="46" spans="1:7" s="187" customFormat="1" ht="15" customHeight="1" x14ac:dyDescent="0.2">
      <c r="A46" s="180"/>
      <c r="B46" s="12"/>
      <c r="C46" s="67" t="s">
        <v>819</v>
      </c>
      <c r="D46" s="220"/>
      <c r="E46" s="220"/>
      <c r="F46" s="220"/>
      <c r="G46" s="220"/>
    </row>
    <row r="47" spans="1:7" ht="15" customHeight="1" x14ac:dyDescent="0.2">
      <c r="A47" s="268" t="s">
        <v>150</v>
      </c>
      <c r="B47" s="269"/>
      <c r="C47" s="480" t="s">
        <v>820</v>
      </c>
      <c r="D47" s="270">
        <f>+D34+D40+D45</f>
        <v>42749</v>
      </c>
      <c r="E47" s="270">
        <f>+E34+E40+E45+E46</f>
        <v>0</v>
      </c>
      <c r="F47" s="270">
        <f>+F34+F40+F45+F46</f>
        <v>0</v>
      </c>
      <c r="G47" s="270" t="e">
        <f>F47/E47*100</f>
        <v>#DIV/0!</v>
      </c>
    </row>
    <row r="48" spans="1:7" ht="15" customHeight="1" x14ac:dyDescent="0.2">
      <c r="A48" s="242"/>
      <c r="B48" s="243"/>
      <c r="C48" s="243"/>
      <c r="D48" s="243"/>
      <c r="E48" s="243"/>
      <c r="F48" s="243"/>
      <c r="G48" s="243"/>
    </row>
    <row r="49" spans="1:7" ht="15" customHeight="1" x14ac:dyDescent="0.2">
      <c r="A49" s="244" t="s">
        <v>297</v>
      </c>
      <c r="B49" s="245"/>
      <c r="C49" s="246"/>
      <c r="D49" s="247">
        <v>7.75</v>
      </c>
      <c r="E49" s="247"/>
      <c r="F49" s="247"/>
      <c r="G49" s="247"/>
    </row>
    <row r="50" spans="1:7" ht="15" customHeight="1" x14ac:dyDescent="0.2">
      <c r="A50" s="244" t="s">
        <v>298</v>
      </c>
      <c r="B50" s="245"/>
      <c r="C50" s="246"/>
      <c r="D50" s="247"/>
      <c r="E50" s="482"/>
      <c r="F50" s="482"/>
      <c r="G50" s="482"/>
    </row>
    <row r="51" spans="1:7" ht="15" customHeight="1" x14ac:dyDescent="0.2"/>
  </sheetData>
  <sheetProtection selectLockedCells="1" selectUnlockedCells="1"/>
  <mergeCells count="5">
    <mergeCell ref="D1:G1"/>
    <mergeCell ref="A2:B2"/>
    <mergeCell ref="A3:B3"/>
    <mergeCell ref="D4:F4"/>
    <mergeCell ref="A5:B5"/>
  </mergeCells>
  <printOptions horizontalCentered="1"/>
  <pageMargins left="0.35433070866141736" right="0.31496062992125984" top="0.51181102362204722" bottom="0.39370078740157483" header="0.51181102362204722" footer="0.19685039370078741"/>
  <pageSetup paperSize="9" scale="95" firstPageNumber="67" orientation="portrait" useFirstPageNumber="1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B13" zoomScaleNormal="130" workbookViewId="0">
      <selection activeCell="D29" sqref="D29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4" style="162" customWidth="1"/>
    <col min="4" max="4" width="18.33203125" style="162" customWidth="1"/>
    <col min="5" max="6" width="15.33203125" style="162" hidden="1" customWidth="1"/>
    <col min="7" max="7" width="12.6640625" style="162" hidden="1" customWidth="1"/>
    <col min="8" max="16384" width="9.33203125" style="162"/>
  </cols>
  <sheetData>
    <row r="1" spans="1:7" s="449" customFormat="1" ht="21" customHeight="1" x14ac:dyDescent="0.2">
      <c r="A1" s="446"/>
      <c r="B1" s="447"/>
      <c r="C1" s="448"/>
      <c r="D1" s="1609" t="s">
        <v>836</v>
      </c>
      <c r="E1" s="1609"/>
      <c r="F1" s="1609"/>
      <c r="G1" s="1609"/>
    </row>
    <row r="2" spans="1:7" s="165" customFormat="1" ht="30" customHeight="1" x14ac:dyDescent="0.2">
      <c r="A2" s="1573" t="s">
        <v>796</v>
      </c>
      <c r="B2" s="1573"/>
      <c r="C2" s="163" t="s">
        <v>797</v>
      </c>
      <c r="D2" s="469"/>
      <c r="E2" s="469"/>
      <c r="F2" s="469"/>
      <c r="G2" s="469"/>
    </row>
    <row r="3" spans="1:7" s="165" customFormat="1" ht="30" customHeight="1" x14ac:dyDescent="0.2">
      <c r="A3" s="1571" t="s">
        <v>264</v>
      </c>
      <c r="B3" s="1571"/>
      <c r="C3" s="166" t="s">
        <v>837</v>
      </c>
      <c r="D3" s="450"/>
      <c r="E3" s="450"/>
      <c r="F3" s="450"/>
      <c r="G3" s="450"/>
    </row>
    <row r="4" spans="1:7" s="169" customFormat="1" ht="15.95" customHeight="1" x14ac:dyDescent="0.25">
      <c r="A4" s="167"/>
      <c r="B4" s="167"/>
      <c r="C4" s="167"/>
      <c r="D4" s="1590"/>
      <c r="E4" s="1590"/>
      <c r="F4" s="1590"/>
      <c r="G4" s="168" t="s">
        <v>196</v>
      </c>
    </row>
    <row r="5" spans="1:7" ht="32.2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175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175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/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/>
      <c r="E9" s="257"/>
      <c r="F9" s="257"/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/>
      <c r="E10" s="255"/>
      <c r="F10" s="255"/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/>
      <c r="E11" s="255"/>
      <c r="F11" s="255"/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/>
      <c r="E12" s="255"/>
      <c r="F12" s="255"/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/>
      <c r="E13" s="255"/>
      <c r="F13" s="255"/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/>
      <c r="E14" s="256"/>
      <c r="F14" s="256"/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/>
      <c r="E15" s="255"/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/>
      <c r="E16" s="258"/>
      <c r="F16" s="258"/>
      <c r="G16" s="258"/>
    </row>
    <row r="17" spans="1:9" s="183" customFormat="1" ht="15" customHeight="1" x14ac:dyDescent="0.2">
      <c r="A17" s="180" t="s">
        <v>6</v>
      </c>
      <c r="B17" s="181"/>
      <c r="C17" s="222" t="s">
        <v>1963</v>
      </c>
      <c r="D17" s="254">
        <f>SUM(D18:D21)</f>
        <v>4268</v>
      </c>
      <c r="E17" s="254">
        <f>SUM(E18:E21)</f>
        <v>0</v>
      </c>
      <c r="F17" s="254">
        <f>SUM(F18:F21)</f>
        <v>0</v>
      </c>
      <c r="G17" s="254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1964</v>
      </c>
      <c r="D18" s="255">
        <v>4268</v>
      </c>
      <c r="E18" s="255"/>
      <c r="F18" s="255"/>
      <c r="G18" s="255" t="e">
        <f>F18/E18*100</f>
        <v>#DIV/0!</v>
      </c>
    </row>
    <row r="19" spans="1:9" s="187" customFormat="1" ht="15" customHeight="1" x14ac:dyDescent="0.2">
      <c r="A19" s="184"/>
      <c r="B19" s="185" t="s">
        <v>9</v>
      </c>
      <c r="C19" s="15" t="s">
        <v>1965</v>
      </c>
      <c r="D19" s="255"/>
      <c r="E19" s="255"/>
      <c r="F19" s="255"/>
      <c r="G19" s="255"/>
    </row>
    <row r="20" spans="1:9" s="187" customFormat="1" ht="15" customHeight="1" x14ac:dyDescent="0.2">
      <c r="A20" s="184"/>
      <c r="B20" s="185" t="s">
        <v>11</v>
      </c>
      <c r="C20" s="15" t="s">
        <v>802</v>
      </c>
      <c r="D20" s="255"/>
      <c r="E20" s="255"/>
      <c r="F20" s="255"/>
      <c r="G20" s="255"/>
    </row>
    <row r="21" spans="1:9" s="187" customFormat="1" ht="15" customHeight="1" x14ac:dyDescent="0.2">
      <c r="A21" s="184"/>
      <c r="B21" s="185" t="s">
        <v>13</v>
      </c>
      <c r="C21" s="15" t="s">
        <v>803</v>
      </c>
      <c r="D21" s="255"/>
      <c r="E21" s="255"/>
      <c r="F21" s="255"/>
      <c r="G21" s="255"/>
    </row>
    <row r="22" spans="1:9" s="187" customFormat="1" ht="15" customHeight="1" x14ac:dyDescent="0.2">
      <c r="A22" s="180" t="s">
        <v>20</v>
      </c>
      <c r="B22" s="12"/>
      <c r="C22" s="12" t="s">
        <v>804</v>
      </c>
      <c r="D22" s="220"/>
      <c r="E22" s="220"/>
      <c r="F22" s="220"/>
      <c r="G22" s="220"/>
    </row>
    <row r="23" spans="1:9" s="187" customFormat="1" ht="15" customHeight="1" x14ac:dyDescent="0.2">
      <c r="A23" s="180" t="s">
        <v>150</v>
      </c>
      <c r="B23" s="12"/>
      <c r="C23" s="12" t="s">
        <v>805</v>
      </c>
      <c r="D23" s="255"/>
      <c r="E23" s="255"/>
      <c r="F23" s="255"/>
      <c r="G23" s="255"/>
    </row>
    <row r="24" spans="1:9" s="183" customFormat="1" ht="15" customHeight="1" x14ac:dyDescent="0.2">
      <c r="A24" s="180" t="s">
        <v>39</v>
      </c>
      <c r="B24" s="181"/>
      <c r="C24" s="12" t="s">
        <v>806</v>
      </c>
      <c r="D24" s="255"/>
      <c r="E24" s="255"/>
      <c r="F24" s="255"/>
      <c r="G24" s="255"/>
    </row>
    <row r="25" spans="1:9" s="183" customFormat="1" ht="15" customHeight="1" x14ac:dyDescent="0.2">
      <c r="A25" s="180" t="s">
        <v>49</v>
      </c>
      <c r="B25" s="209"/>
      <c r="C25" s="12" t="s">
        <v>807</v>
      </c>
      <c r="D25" s="266">
        <f>+D26+D27</f>
        <v>0</v>
      </c>
      <c r="E25" s="266">
        <f>+E26+E27</f>
        <v>0</v>
      </c>
      <c r="F25" s="266">
        <f>+F26+F27</f>
        <v>0</v>
      </c>
      <c r="G25" s="266"/>
    </row>
    <row r="26" spans="1:9" s="183" customFormat="1" ht="15" customHeight="1" x14ac:dyDescent="0.2">
      <c r="A26" s="192"/>
      <c r="B26" s="199" t="s">
        <v>50</v>
      </c>
      <c r="C26" s="19" t="s">
        <v>808</v>
      </c>
      <c r="D26" s="255"/>
      <c r="E26" s="255"/>
      <c r="F26" s="255"/>
      <c r="G26" s="255"/>
    </row>
    <row r="27" spans="1:9" s="183" customFormat="1" ht="15" customHeight="1" x14ac:dyDescent="0.2">
      <c r="A27" s="202"/>
      <c r="B27" s="203" t="s">
        <v>63</v>
      </c>
      <c r="C27" s="24" t="s">
        <v>809</v>
      </c>
      <c r="D27" s="255"/>
      <c r="E27" s="255"/>
      <c r="F27" s="255"/>
      <c r="G27" s="255"/>
    </row>
    <row r="28" spans="1:9" s="187" customFormat="1" ht="15" customHeight="1" x14ac:dyDescent="0.25">
      <c r="A28" s="212" t="s">
        <v>179</v>
      </c>
      <c r="B28" s="213"/>
      <c r="C28" s="12" t="s">
        <v>282</v>
      </c>
      <c r="D28" s="255">
        <v>34161</v>
      </c>
      <c r="E28" s="255"/>
      <c r="F28" s="255"/>
      <c r="G28" s="255" t="e">
        <f>F28/E28*100</f>
        <v>#DIV/0!</v>
      </c>
      <c r="I28" s="201">
        <f>SUM(D46-D30)</f>
        <v>0</v>
      </c>
    </row>
    <row r="29" spans="1:9" s="187" customFormat="1" ht="15" customHeight="1" x14ac:dyDescent="0.25">
      <c r="A29" s="212"/>
      <c r="B29" s="213"/>
      <c r="C29" s="12" t="s">
        <v>810</v>
      </c>
      <c r="D29" s="220"/>
      <c r="E29" s="220"/>
      <c r="F29" s="220"/>
      <c r="G29" s="220"/>
    </row>
    <row r="30" spans="1:9" s="187" customFormat="1" ht="15" customHeight="1" x14ac:dyDescent="0.2">
      <c r="A30" s="268" t="s">
        <v>75</v>
      </c>
      <c r="B30" s="269"/>
      <c r="C30" s="480" t="s">
        <v>811</v>
      </c>
      <c r="D30" s="270">
        <f>SUM(D8,D17,D22,D23,D24,D25,D28)</f>
        <v>38429</v>
      </c>
      <c r="E30" s="270">
        <f>SUM(E8,E17,E22,E23,E24,E25,E28,E29)</f>
        <v>0</v>
      </c>
      <c r="F30" s="270">
        <f>SUM(F8,F17,F22,F23,F24,F25,F28,F29)</f>
        <v>0</v>
      </c>
      <c r="G30" s="270" t="e">
        <f>F30/E30*100</f>
        <v>#DIV/0!</v>
      </c>
    </row>
    <row r="31" spans="1:9" ht="15" customHeight="1" x14ac:dyDescent="0.2">
      <c r="A31" s="242"/>
      <c r="B31" s="243"/>
      <c r="C31" s="243"/>
      <c r="D31" s="516"/>
      <c r="E31" s="516"/>
      <c r="F31" s="516"/>
      <c r="G31" s="516"/>
    </row>
    <row r="32" spans="1:9" s="175" customFormat="1" ht="15" customHeight="1" x14ac:dyDescent="0.2">
      <c r="A32" s="268"/>
      <c r="B32" s="269"/>
      <c r="C32" s="513" t="s">
        <v>199</v>
      </c>
      <c r="D32" s="270"/>
      <c r="E32" s="270"/>
      <c r="F32" s="270"/>
      <c r="G32" s="270"/>
    </row>
    <row r="33" spans="1:7" s="232" customFormat="1" ht="15" customHeight="1" x14ac:dyDescent="0.2">
      <c r="A33" s="180" t="s">
        <v>5</v>
      </c>
      <c r="B33" s="12"/>
      <c r="C33" s="67" t="s">
        <v>102</v>
      </c>
      <c r="D33" s="254">
        <f>SUM(D34:D38)</f>
        <v>38429</v>
      </c>
      <c r="E33" s="254">
        <f>SUM(E34:E38)</f>
        <v>0</v>
      </c>
      <c r="F33" s="254">
        <f>SUM(F34:F38)</f>
        <v>0</v>
      </c>
      <c r="G33" s="254" t="e">
        <f>F33/E33*100</f>
        <v>#DIV/0!</v>
      </c>
    </row>
    <row r="34" spans="1:7" ht="15" customHeight="1" x14ac:dyDescent="0.2">
      <c r="A34" s="204"/>
      <c r="B34" s="231" t="s">
        <v>103</v>
      </c>
      <c r="C34" s="27" t="s">
        <v>104</v>
      </c>
      <c r="D34" s="262">
        <v>26469</v>
      </c>
      <c r="E34" s="262"/>
      <c r="F34" s="262"/>
      <c r="G34" s="262" t="e">
        <f>F34/E34*100</f>
        <v>#DIV/0!</v>
      </c>
    </row>
    <row r="35" spans="1:7" ht="15" customHeight="1" x14ac:dyDescent="0.2">
      <c r="A35" s="184"/>
      <c r="B35" s="200" t="s">
        <v>105</v>
      </c>
      <c r="C35" s="15" t="s">
        <v>106</v>
      </c>
      <c r="D35" s="255">
        <v>6957</v>
      </c>
      <c r="E35" s="255"/>
      <c r="F35" s="255"/>
      <c r="G35" s="255" t="e">
        <f>F35/E35*100</f>
        <v>#DIV/0!</v>
      </c>
    </row>
    <row r="36" spans="1:7" ht="15" customHeight="1" x14ac:dyDescent="0.2">
      <c r="A36" s="184"/>
      <c r="B36" s="200" t="s">
        <v>107</v>
      </c>
      <c r="C36" s="15" t="s">
        <v>108</v>
      </c>
      <c r="D36" s="255">
        <v>5003</v>
      </c>
      <c r="E36" s="255"/>
      <c r="F36" s="255"/>
      <c r="G36" s="255" t="e">
        <f>F36/E36*100</f>
        <v>#DIV/0!</v>
      </c>
    </row>
    <row r="37" spans="1:7" ht="15" customHeight="1" x14ac:dyDescent="0.2">
      <c r="A37" s="184"/>
      <c r="B37" s="200" t="s">
        <v>109</v>
      </c>
      <c r="C37" s="15" t="s">
        <v>110</v>
      </c>
      <c r="D37" s="255"/>
      <c r="E37" s="255"/>
      <c r="F37" s="255"/>
      <c r="G37" s="255"/>
    </row>
    <row r="38" spans="1:7" ht="15" customHeight="1" x14ac:dyDescent="0.2">
      <c r="A38" s="184"/>
      <c r="B38" s="200" t="s">
        <v>111</v>
      </c>
      <c r="C38" s="15" t="s">
        <v>112</v>
      </c>
      <c r="D38" s="255"/>
      <c r="E38" s="255"/>
      <c r="F38" s="255"/>
      <c r="G38" s="255"/>
    </row>
    <row r="39" spans="1:7" ht="15" customHeight="1" x14ac:dyDescent="0.2">
      <c r="A39" s="180" t="s">
        <v>6</v>
      </c>
      <c r="B39" s="12"/>
      <c r="C39" s="67" t="s">
        <v>823</v>
      </c>
      <c r="D39" s="254">
        <f>SUM(D40:D43)</f>
        <v>0</v>
      </c>
      <c r="E39" s="254">
        <f>SUM(E40:E43)</f>
        <v>0</v>
      </c>
      <c r="F39" s="254">
        <f>SUM(F40:F43)</f>
        <v>0</v>
      </c>
      <c r="G39" s="254"/>
    </row>
    <row r="40" spans="1:7" s="232" customFormat="1" ht="15" customHeight="1" x14ac:dyDescent="0.2">
      <c r="A40" s="204"/>
      <c r="B40" s="231" t="s">
        <v>7</v>
      </c>
      <c r="C40" s="27" t="s">
        <v>816</v>
      </c>
      <c r="D40" s="262"/>
      <c r="E40" s="262"/>
      <c r="F40" s="262"/>
      <c r="G40" s="262"/>
    </row>
    <row r="41" spans="1:7" ht="15" customHeight="1" x14ac:dyDescent="0.2">
      <c r="A41" s="184"/>
      <c r="B41" s="200" t="s">
        <v>9</v>
      </c>
      <c r="C41" s="15" t="s">
        <v>135</v>
      </c>
      <c r="D41" s="255"/>
      <c r="E41" s="255"/>
      <c r="F41" s="255"/>
      <c r="G41" s="255"/>
    </row>
    <row r="42" spans="1:7" ht="29.25" customHeight="1" x14ac:dyDescent="0.2">
      <c r="A42" s="184"/>
      <c r="B42" s="200" t="s">
        <v>15</v>
      </c>
      <c r="C42" s="15" t="s">
        <v>138</v>
      </c>
      <c r="D42" s="255"/>
      <c r="E42" s="255"/>
      <c r="F42" s="255"/>
      <c r="G42" s="255"/>
    </row>
    <row r="43" spans="1:7" ht="15" customHeight="1" x14ac:dyDescent="0.2">
      <c r="A43" s="184"/>
      <c r="B43" s="200" t="s">
        <v>19</v>
      </c>
      <c r="C43" s="15" t="s">
        <v>817</v>
      </c>
      <c r="D43" s="255"/>
      <c r="E43" s="255"/>
      <c r="F43" s="255"/>
      <c r="G43" s="255"/>
    </row>
    <row r="44" spans="1:7" ht="15" customHeight="1" x14ac:dyDescent="0.2">
      <c r="A44" s="180" t="s">
        <v>20</v>
      </c>
      <c r="B44" s="12"/>
      <c r="C44" s="67" t="s">
        <v>818</v>
      </c>
      <c r="D44" s="220"/>
      <c r="E44" s="220"/>
      <c r="F44" s="220"/>
      <c r="G44" s="220"/>
    </row>
    <row r="45" spans="1:7" s="187" customFormat="1" ht="15" customHeight="1" x14ac:dyDescent="0.2">
      <c r="A45" s="180"/>
      <c r="B45" s="12"/>
      <c r="C45" s="67" t="s">
        <v>819</v>
      </c>
      <c r="D45" s="220"/>
      <c r="E45" s="220"/>
      <c r="F45" s="220"/>
      <c r="G45" s="220"/>
    </row>
    <row r="46" spans="1:7" ht="15" customHeight="1" x14ac:dyDescent="0.2">
      <c r="A46" s="268" t="s">
        <v>150</v>
      </c>
      <c r="B46" s="269"/>
      <c r="C46" s="480" t="s">
        <v>820</v>
      </c>
      <c r="D46" s="270">
        <f>+D33+D39+D44</f>
        <v>38429</v>
      </c>
      <c r="E46" s="270">
        <f>+E33+E39+E44+E45</f>
        <v>0</v>
      </c>
      <c r="F46" s="270">
        <f>+F33+F39+F44+F45</f>
        <v>0</v>
      </c>
      <c r="G46" s="270" t="e">
        <f>F46/E46*100</f>
        <v>#DIV/0!</v>
      </c>
    </row>
    <row r="47" spans="1:7" ht="15" customHeight="1" x14ac:dyDescent="0.2">
      <c r="A47" s="242"/>
      <c r="B47" s="243"/>
      <c r="C47" s="243"/>
      <c r="D47" s="243"/>
      <c r="E47" s="243"/>
      <c r="F47" s="243"/>
      <c r="G47" s="243"/>
    </row>
    <row r="48" spans="1:7" ht="15" customHeight="1" x14ac:dyDescent="0.2">
      <c r="A48" s="244" t="s">
        <v>297</v>
      </c>
      <c r="B48" s="245"/>
      <c r="C48" s="246"/>
      <c r="D48" s="482">
        <v>9</v>
      </c>
      <c r="E48" s="482"/>
      <c r="F48" s="482"/>
      <c r="G48" s="482"/>
    </row>
    <row r="49" spans="1:7" ht="15" customHeight="1" x14ac:dyDescent="0.2">
      <c r="A49" s="244" t="s">
        <v>298</v>
      </c>
      <c r="B49" s="245"/>
      <c r="C49" s="246"/>
      <c r="D49" s="482"/>
      <c r="E49" s="482"/>
      <c r="F49" s="482"/>
      <c r="G49" s="482"/>
    </row>
    <row r="50" spans="1:7" ht="15" customHeight="1" x14ac:dyDescent="0.2"/>
  </sheetData>
  <sheetProtection selectLockedCells="1" selectUnlockedCells="1"/>
  <mergeCells count="5">
    <mergeCell ref="D1:G1"/>
    <mergeCell ref="A2:B2"/>
    <mergeCell ref="A3:B3"/>
    <mergeCell ref="D4:F4"/>
    <mergeCell ref="A5:B5"/>
  </mergeCells>
  <printOptions horizontalCentered="1"/>
  <pageMargins left="0.39370078740157483" right="0.31496062992125984" top="0.31496062992125984" bottom="0.35433070866141736" header="0.51181102362204722" footer="0.15748031496062992"/>
  <pageSetup paperSize="9" scale="98" firstPageNumber="68" orientation="portrait" useFirstPageNumber="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view="pageBreakPreview" topLeftCell="A125" zoomScale="140" zoomScaleNormal="120" zoomScaleSheetLayoutView="140" workbookViewId="0">
      <selection activeCell="C57" sqref="C57"/>
    </sheetView>
  </sheetViews>
  <sheetFormatPr defaultRowHeight="15.75" x14ac:dyDescent="0.25"/>
  <cols>
    <col min="1" max="1" width="9.1640625" style="1" customWidth="1"/>
    <col min="2" max="2" width="46.33203125" style="2" customWidth="1"/>
    <col min="3" max="3" width="14.5" style="2" customWidth="1"/>
    <col min="4" max="4" width="14.33203125" style="2" hidden="1" customWidth="1"/>
    <col min="5" max="5" width="14.1640625" style="2" hidden="1" customWidth="1"/>
    <col min="6" max="6" width="8.1640625" style="2" hidden="1" customWidth="1"/>
    <col min="7" max="7" width="9" style="2" hidden="1" customWidth="1"/>
    <col min="8" max="8" width="0" style="2" hidden="1" customWidth="1"/>
    <col min="9" max="9" width="14.5" style="2" hidden="1" customWidth="1"/>
    <col min="10" max="10" width="13.83203125" style="2" hidden="1" customWidth="1"/>
    <col min="11" max="11" width="14.1640625" style="2" hidden="1" customWidth="1"/>
    <col min="12" max="12" width="0" style="2" hidden="1" customWidth="1"/>
    <col min="13" max="16384" width="9.33203125" style="2"/>
  </cols>
  <sheetData>
    <row r="1" spans="1:7" ht="9" customHeight="1" x14ac:dyDescent="0.25"/>
    <row r="2" spans="1:7" ht="45" customHeight="1" x14ac:dyDescent="0.25">
      <c r="A2" s="3" t="s">
        <v>0</v>
      </c>
      <c r="B2" s="4" t="s">
        <v>1</v>
      </c>
      <c r="C2" s="948" t="s">
        <v>1489</v>
      </c>
      <c r="D2" s="1063" t="s">
        <v>1436</v>
      </c>
      <c r="E2" s="5" t="s">
        <v>1433</v>
      </c>
      <c r="F2" s="948" t="s">
        <v>3</v>
      </c>
      <c r="G2" s="6"/>
    </row>
    <row r="3" spans="1:7" s="6" customFormat="1" ht="19.5" customHeight="1" x14ac:dyDescent="0.25">
      <c r="A3" s="1527" t="s">
        <v>4</v>
      </c>
      <c r="B3" s="1527"/>
      <c r="C3" s="1527"/>
      <c r="D3" s="7"/>
      <c r="E3" s="7"/>
      <c r="F3" s="7"/>
    </row>
    <row r="4" spans="1:7" s="11" customFormat="1" ht="32.25" customHeight="1" x14ac:dyDescent="0.25">
      <c r="A4" s="8" t="s">
        <v>5</v>
      </c>
      <c r="B4" s="9" t="s">
        <v>1852</v>
      </c>
      <c r="C4" s="10">
        <f>+C5+C14+C23+C24+C34</f>
        <v>2914996</v>
      </c>
      <c r="D4" s="10">
        <f>+D5+D14+D23</f>
        <v>0</v>
      </c>
      <c r="E4" s="10" t="e">
        <f>+E5+E14+E23</f>
        <v>#REF!</v>
      </c>
      <c r="F4" s="10" t="e">
        <f>E4/D4*100</f>
        <v>#REF!</v>
      </c>
      <c r="G4" s="6"/>
    </row>
    <row r="5" spans="1:7" s="11" customFormat="1" ht="30.75" customHeight="1" x14ac:dyDescent="0.25">
      <c r="A5" s="3" t="s">
        <v>6</v>
      </c>
      <c r="B5" s="12" t="s">
        <v>1851</v>
      </c>
      <c r="C5" s="13">
        <f>SUM(C6:C11)</f>
        <v>1625000</v>
      </c>
      <c r="D5" s="13">
        <f>SUM(D6:D13)</f>
        <v>0</v>
      </c>
      <c r="E5" s="13">
        <f>SUM(E6:E13)</f>
        <v>0</v>
      </c>
      <c r="F5" s="13" t="e">
        <f t="shared" ref="F5:F59" si="0">E5/D5*100</f>
        <v>#DIV/0!</v>
      </c>
    </row>
    <row r="6" spans="1:7" s="11" customFormat="1" ht="15" customHeight="1" x14ac:dyDescent="0.25">
      <c r="A6" s="14" t="s">
        <v>7</v>
      </c>
      <c r="B6" s="15" t="s">
        <v>8</v>
      </c>
      <c r="C6" s="16">
        <f>SUM('2. sz. mell '!D9)</f>
        <v>1515000</v>
      </c>
      <c r="D6" s="16">
        <f>SUM('2. sz. mell '!E9)</f>
        <v>0</v>
      </c>
      <c r="E6" s="16">
        <f>SUM('2. sz. mell '!F9)</f>
        <v>0</v>
      </c>
      <c r="F6" s="16" t="e">
        <f t="shared" si="0"/>
        <v>#DIV/0!</v>
      </c>
    </row>
    <row r="7" spans="1:7" s="11" customFormat="1" ht="15" customHeight="1" x14ac:dyDescent="0.25">
      <c r="A7" s="14" t="s">
        <v>9</v>
      </c>
      <c r="B7" s="15" t="s">
        <v>10</v>
      </c>
      <c r="C7" s="16">
        <f>SUM('2. sz. mell '!D10)</f>
        <v>0</v>
      </c>
      <c r="D7" s="16">
        <f>SUM('2. sz. mell '!E10)</f>
        <v>0</v>
      </c>
      <c r="E7" s="16">
        <f>SUM('2. sz. mell '!F10)</f>
        <v>0</v>
      </c>
      <c r="F7" s="16"/>
    </row>
    <row r="8" spans="1:7" s="11" customFormat="1" ht="15" customHeight="1" x14ac:dyDescent="0.25">
      <c r="A8" s="14" t="s">
        <v>11</v>
      </c>
      <c r="B8" s="15" t="s">
        <v>12</v>
      </c>
      <c r="C8" s="16">
        <f>SUM('2. sz. mell '!D11)</f>
        <v>100000</v>
      </c>
      <c r="D8" s="16">
        <f>SUM('2. sz. mell '!E11)</f>
        <v>0</v>
      </c>
      <c r="E8" s="16">
        <f>SUM('2. sz. mell '!F11)</f>
        <v>0</v>
      </c>
      <c r="F8" s="16" t="e">
        <f t="shared" si="0"/>
        <v>#DIV/0!</v>
      </c>
    </row>
    <row r="9" spans="1:7" s="11" customFormat="1" ht="15" customHeight="1" x14ac:dyDescent="0.25">
      <c r="A9" s="14" t="s">
        <v>13</v>
      </c>
      <c r="B9" s="15" t="s">
        <v>14</v>
      </c>
      <c r="C9" s="16">
        <f>SUM('2. sz. mell '!D12)</f>
        <v>10000</v>
      </c>
      <c r="D9" s="16">
        <f>SUM('2. sz. mell '!E12)</f>
        <v>0</v>
      </c>
      <c r="E9" s="16">
        <f>SUM('2. sz. mell '!F12)</f>
        <v>0</v>
      </c>
      <c r="F9" s="16" t="e">
        <f t="shared" si="0"/>
        <v>#DIV/0!</v>
      </c>
    </row>
    <row r="10" spans="1:7" s="11" customFormat="1" ht="15" customHeight="1" x14ac:dyDescent="0.25">
      <c r="A10" s="14" t="s">
        <v>15</v>
      </c>
      <c r="B10" s="15" t="s">
        <v>16</v>
      </c>
      <c r="C10" s="16">
        <f>SUM('2. sz. mell '!D13)</f>
        <v>0</v>
      </c>
      <c r="D10" s="16">
        <f>SUM('2. sz. mell '!E13)</f>
        <v>0</v>
      </c>
      <c r="E10" s="16">
        <f>SUM('2. sz. mell '!F13)</f>
        <v>0</v>
      </c>
      <c r="F10" s="16"/>
    </row>
    <row r="11" spans="1:7" s="11" customFormat="1" ht="15" customHeight="1" x14ac:dyDescent="0.25">
      <c r="A11" s="14" t="s">
        <v>17</v>
      </c>
      <c r="B11" s="15" t="s">
        <v>18</v>
      </c>
      <c r="C11" s="16">
        <f>SUM('2. sz. mell '!D14)</f>
        <v>0</v>
      </c>
      <c r="D11" s="16">
        <f>SUM('2. sz. mell '!E14)</f>
        <v>0</v>
      </c>
      <c r="E11" s="16">
        <f>SUM('2. sz. mell '!F14)</f>
        <v>0</v>
      </c>
      <c r="F11" s="16"/>
    </row>
    <row r="12" spans="1:7" s="11" customFormat="1" ht="15" customHeight="1" x14ac:dyDescent="0.25">
      <c r="A12" s="14" t="s">
        <v>19</v>
      </c>
      <c r="B12" s="15" t="s">
        <v>16</v>
      </c>
      <c r="C12" s="16">
        <f>SUM('2. sz. mell '!D15)</f>
        <v>0</v>
      </c>
      <c r="D12" s="16">
        <f>SUM('2. sz. mell '!E15)</f>
        <v>0</v>
      </c>
      <c r="E12" s="16">
        <f>SUM('2. sz. mell '!F15)</f>
        <v>0</v>
      </c>
      <c r="F12" s="16"/>
    </row>
    <row r="13" spans="1:7" s="11" customFormat="1" ht="15" customHeight="1" thickBot="1" x14ac:dyDescent="0.3">
      <c r="A13" s="14" t="s">
        <v>524</v>
      </c>
      <c r="B13" s="22" t="s">
        <v>202</v>
      </c>
      <c r="C13" s="37"/>
      <c r="D13" s="37">
        <f>SUM('2. sz. mell '!E16)</f>
        <v>0</v>
      </c>
      <c r="E13" s="37">
        <f>SUM('2. sz. mell '!F16)</f>
        <v>0</v>
      </c>
      <c r="F13" s="16" t="e">
        <f t="shared" si="0"/>
        <v>#DIV/0!</v>
      </c>
    </row>
    <row r="14" spans="1:7" s="11" customFormat="1" ht="29.25" thickBot="1" x14ac:dyDescent="0.3">
      <c r="A14" s="3" t="s">
        <v>20</v>
      </c>
      <c r="B14" s="12" t="s">
        <v>21</v>
      </c>
      <c r="C14" s="17">
        <f>SUM(C15:C22)</f>
        <v>315822</v>
      </c>
      <c r="D14" s="17">
        <f>SUM(D15:D22)</f>
        <v>0</v>
      </c>
      <c r="E14" s="17" t="e">
        <f>SUM(E15:E22)</f>
        <v>#REF!</v>
      </c>
      <c r="F14" s="17" t="e">
        <f t="shared" si="0"/>
        <v>#REF!</v>
      </c>
    </row>
    <row r="15" spans="1:7" s="11" customFormat="1" ht="15" customHeight="1" x14ac:dyDescent="0.25">
      <c r="A15" s="18" t="s">
        <v>22</v>
      </c>
      <c r="B15" s="19" t="s">
        <v>23</v>
      </c>
      <c r="C15" s="20">
        <f>SUM('2. sz. mell '!D18)</f>
        <v>0</v>
      </c>
      <c r="D15" s="20">
        <f>SUM('2. sz. mell '!E18)</f>
        <v>0</v>
      </c>
      <c r="E15" s="20">
        <f>SUM('2. sz. mell '!F18)</f>
        <v>0</v>
      </c>
      <c r="F15" s="20"/>
    </row>
    <row r="16" spans="1:7" s="11" customFormat="1" ht="15" customHeight="1" x14ac:dyDescent="0.25">
      <c r="A16" s="14" t="s">
        <v>24</v>
      </c>
      <c r="B16" s="15" t="s">
        <v>25</v>
      </c>
      <c r="C16" s="16">
        <f>SUM('2. sz. mell '!D19)</f>
        <v>200360</v>
      </c>
      <c r="D16" s="16">
        <f>SUM('2. sz. mell '!E19)</f>
        <v>0</v>
      </c>
      <c r="E16" s="16" t="e">
        <f>SUM('2. sz. mell '!F19)</f>
        <v>#REF!</v>
      </c>
      <c r="F16" s="16" t="e">
        <f t="shared" si="0"/>
        <v>#REF!</v>
      </c>
    </row>
    <row r="17" spans="1:6" s="11" customFormat="1" ht="15" customHeight="1" x14ac:dyDescent="0.25">
      <c r="A17" s="14" t="s">
        <v>26</v>
      </c>
      <c r="B17" s="15" t="s">
        <v>27</v>
      </c>
      <c r="C17" s="16">
        <f>SUM('2. sz. mell '!D20)</f>
        <v>55503</v>
      </c>
      <c r="D17" s="16">
        <f>SUM('2. sz. mell '!E20)</f>
        <v>0</v>
      </c>
      <c r="E17" s="16">
        <f>SUM('2. sz. mell '!F20)</f>
        <v>0</v>
      </c>
      <c r="F17" s="16" t="e">
        <f t="shared" si="0"/>
        <v>#DIV/0!</v>
      </c>
    </row>
    <row r="18" spans="1:6" s="11" customFormat="1" ht="15" customHeight="1" x14ac:dyDescent="0.25">
      <c r="A18" s="14" t="s">
        <v>28</v>
      </c>
      <c r="B18" s="15" t="s">
        <v>29</v>
      </c>
      <c r="C18" s="16">
        <f>SUM('2. sz. mell '!D21)</f>
        <v>2571</v>
      </c>
      <c r="D18" s="16">
        <f>SUM('2. sz. mell '!E21)</f>
        <v>0</v>
      </c>
      <c r="E18" s="16">
        <f>SUM('2. sz. mell '!F21)</f>
        <v>0</v>
      </c>
      <c r="F18" s="16" t="e">
        <f t="shared" si="0"/>
        <v>#DIV/0!</v>
      </c>
    </row>
    <row r="19" spans="1:6" s="11" customFormat="1" ht="15" customHeight="1" x14ac:dyDescent="0.25">
      <c r="A19" s="21" t="s">
        <v>30</v>
      </c>
      <c r="B19" s="22" t="s">
        <v>31</v>
      </c>
      <c r="C19" s="16">
        <f>SUM('2. sz. mell '!D22)</f>
        <v>907</v>
      </c>
      <c r="D19" s="16">
        <f>SUM('2. sz. mell '!E22)</f>
        <v>0</v>
      </c>
      <c r="E19" s="16">
        <f>SUM('2. sz. mell '!F22)</f>
        <v>0</v>
      </c>
      <c r="F19" s="16" t="e">
        <f t="shared" si="0"/>
        <v>#DIV/0!</v>
      </c>
    </row>
    <row r="20" spans="1:6" s="11" customFormat="1" ht="15" customHeight="1" x14ac:dyDescent="0.25">
      <c r="A20" s="14" t="s">
        <v>32</v>
      </c>
      <c r="B20" s="15" t="s">
        <v>33</v>
      </c>
      <c r="C20" s="16">
        <f>SUM('2. sz. mell '!D23)</f>
        <v>56481</v>
      </c>
      <c r="D20" s="16">
        <f>SUM('2. sz. mell '!E23)</f>
        <v>0</v>
      </c>
      <c r="E20" s="16">
        <f>SUM('2. sz. mell '!F23)</f>
        <v>0</v>
      </c>
      <c r="F20" s="16" t="e">
        <f t="shared" si="0"/>
        <v>#DIV/0!</v>
      </c>
    </row>
    <row r="21" spans="1:6" s="11" customFormat="1" ht="15" customHeight="1" x14ac:dyDescent="0.25">
      <c r="A21" s="14" t="s">
        <v>34</v>
      </c>
      <c r="B21" s="15" t="s">
        <v>35</v>
      </c>
      <c r="C21" s="16">
        <f>SUM('2. sz. mell '!D24)</f>
        <v>0</v>
      </c>
      <c r="D21" s="16">
        <f>SUM('2. sz. mell '!E24)</f>
        <v>0</v>
      </c>
      <c r="E21" s="16">
        <f>SUM('2. sz. mell '!F24)</f>
        <v>0</v>
      </c>
      <c r="F21" s="16" t="e">
        <f t="shared" si="0"/>
        <v>#DIV/0!</v>
      </c>
    </row>
    <row r="22" spans="1:6" s="11" customFormat="1" ht="15" customHeight="1" thickBot="1" x14ac:dyDescent="0.3">
      <c r="A22" s="23" t="s">
        <v>36</v>
      </c>
      <c r="B22" s="24" t="s">
        <v>37</v>
      </c>
      <c r="C22" s="16">
        <f>SUM('2. sz. mell '!D25)</f>
        <v>0</v>
      </c>
      <c r="D22" s="16">
        <f>SUM('2. sz. mell '!E25)</f>
        <v>0</v>
      </c>
      <c r="E22" s="16">
        <f>SUM('2. sz. mell '!F25)</f>
        <v>0</v>
      </c>
      <c r="F22" s="16" t="e">
        <f t="shared" si="0"/>
        <v>#DIV/0!</v>
      </c>
    </row>
    <row r="23" spans="1:6" s="11" customFormat="1" ht="15" hidden="1" customHeight="1" x14ac:dyDescent="0.25">
      <c r="A23" s="3"/>
      <c r="B23" s="12"/>
      <c r="C23" s="25">
        <f>SUM('2. sz. mell '!D26)</f>
        <v>0</v>
      </c>
      <c r="D23" s="25">
        <f>SUM('2. sz. mell '!E26)</f>
        <v>0</v>
      </c>
      <c r="E23" s="25">
        <f>SUM('2. sz. mell '!F26)</f>
        <v>0</v>
      </c>
      <c r="F23" s="25"/>
    </row>
    <row r="24" spans="1:6" s="11" customFormat="1" ht="30" thickBot="1" x14ac:dyDescent="0.3">
      <c r="A24" s="3" t="s">
        <v>150</v>
      </c>
      <c r="B24" s="12" t="s">
        <v>1890</v>
      </c>
      <c r="C24" s="17">
        <f>SUM(C25:C32)</f>
        <v>526670</v>
      </c>
      <c r="D24" s="17">
        <f>SUM(D25:D32)</f>
        <v>0</v>
      </c>
      <c r="E24" s="17">
        <f>SUM(E25:E32)</f>
        <v>0</v>
      </c>
      <c r="F24" s="17" t="e">
        <f t="shared" si="0"/>
        <v>#DIV/0!</v>
      </c>
    </row>
    <row r="25" spans="1:6" s="11" customFormat="1" ht="15" customHeight="1" x14ac:dyDescent="0.25">
      <c r="A25" s="26" t="s">
        <v>152</v>
      </c>
      <c r="B25" s="27" t="s">
        <v>1840</v>
      </c>
      <c r="C25" s="28">
        <f>SUM('2. sz. mell '!D55)</f>
        <v>517641</v>
      </c>
      <c r="D25" s="28">
        <f>SUM('2. sz. mell '!E55)</f>
        <v>0</v>
      </c>
      <c r="E25" s="28">
        <f>SUM('2. sz. mell '!F55)</f>
        <v>0</v>
      </c>
      <c r="F25" s="28" t="e">
        <f t="shared" si="0"/>
        <v>#DIV/0!</v>
      </c>
    </row>
    <row r="26" spans="1:6" s="11" customFormat="1" ht="29.25" customHeight="1" x14ac:dyDescent="0.25">
      <c r="A26" s="26" t="s">
        <v>154</v>
      </c>
      <c r="B26" s="15" t="s">
        <v>42</v>
      </c>
      <c r="C26" s="28">
        <f>SUM('2. sz. mell '!D56)</f>
        <v>0</v>
      </c>
      <c r="D26" s="28">
        <f>SUM('2. sz. mell '!E56)</f>
        <v>0</v>
      </c>
      <c r="E26" s="28">
        <f>SUM('2. sz. mell '!F56)</f>
        <v>0</v>
      </c>
      <c r="F26" s="28" t="e">
        <f t="shared" si="0"/>
        <v>#DIV/0!</v>
      </c>
    </row>
    <row r="27" spans="1:6" s="11" customFormat="1" ht="15" customHeight="1" x14ac:dyDescent="0.25">
      <c r="A27" s="26" t="s">
        <v>156</v>
      </c>
      <c r="B27" s="15" t="s">
        <v>43</v>
      </c>
      <c r="C27" s="28">
        <f>SUM('2. sz. mell '!D57)</f>
        <v>9029</v>
      </c>
      <c r="D27" s="28">
        <f>SUM('2. sz. mell '!E57)</f>
        <v>0</v>
      </c>
      <c r="E27" s="28">
        <f>SUM('2. sz. mell '!F57)</f>
        <v>0</v>
      </c>
      <c r="F27" s="28" t="e">
        <f t="shared" si="0"/>
        <v>#DIV/0!</v>
      </c>
    </row>
    <row r="28" spans="1:6" s="11" customFormat="1" ht="15" customHeight="1" x14ac:dyDescent="0.25">
      <c r="A28" s="26" t="s">
        <v>1094</v>
      </c>
      <c r="B28" s="15" t="s">
        <v>44</v>
      </c>
      <c r="C28" s="28">
        <f>SUM('2. sz. mell '!D58)</f>
        <v>0</v>
      </c>
      <c r="D28" s="28">
        <f>SUM('2. sz. mell '!E58)</f>
        <v>0</v>
      </c>
      <c r="E28" s="28">
        <f>SUM('2. sz. mell '!F58)</f>
        <v>0</v>
      </c>
      <c r="F28" s="28"/>
    </row>
    <row r="29" spans="1:6" s="11" customFormat="1" ht="29.25" customHeight="1" x14ac:dyDescent="0.25">
      <c r="A29" s="26" t="s">
        <v>1095</v>
      </c>
      <c r="B29" s="15" t="s">
        <v>45</v>
      </c>
      <c r="C29" s="28">
        <f>SUM('2. sz. mell '!D59)</f>
        <v>0</v>
      </c>
      <c r="D29" s="28">
        <f>SUM('2. sz. mell '!E59)</f>
        <v>0</v>
      </c>
      <c r="E29" s="28">
        <f>SUM('2. sz. mell '!F59)</f>
        <v>0</v>
      </c>
      <c r="F29" s="28"/>
    </row>
    <row r="30" spans="1:6" s="11" customFormat="1" ht="15" customHeight="1" x14ac:dyDescent="0.25">
      <c r="A30" s="26" t="s">
        <v>1096</v>
      </c>
      <c r="B30" s="15" t="s">
        <v>46</v>
      </c>
      <c r="C30" s="28">
        <f>SUM('2. sz. mell '!D60)</f>
        <v>0</v>
      </c>
      <c r="D30" s="28">
        <f>SUM('2. sz. mell '!E60)</f>
        <v>0</v>
      </c>
      <c r="E30" s="28">
        <f>SUM('2. sz. mell '!F60)</f>
        <v>0</v>
      </c>
      <c r="F30" s="28"/>
    </row>
    <row r="31" spans="1:6" s="11" customFormat="1" ht="29.25" customHeight="1" x14ac:dyDescent="0.25">
      <c r="A31" s="26" t="s">
        <v>1414</v>
      </c>
      <c r="B31" s="15" t="s">
        <v>47</v>
      </c>
      <c r="C31" s="28">
        <f>SUM('2. sz. mell '!D61)</f>
        <v>0</v>
      </c>
      <c r="D31" s="28">
        <f>SUM('2. sz. mell '!E61)</f>
        <v>0</v>
      </c>
      <c r="E31" s="28">
        <f>SUM('2. sz. mell '!F61)</f>
        <v>0</v>
      </c>
      <c r="F31" s="28"/>
    </row>
    <row r="32" spans="1:6" s="11" customFormat="1" ht="15" customHeight="1" x14ac:dyDescent="0.25">
      <c r="A32" s="26" t="s">
        <v>1454</v>
      </c>
      <c r="B32" s="15" t="s">
        <v>48</v>
      </c>
      <c r="C32" s="28">
        <f>SUM('2. sz. mell '!D62)</f>
        <v>0</v>
      </c>
      <c r="D32" s="28">
        <f>SUM('2. sz. mell '!E62)</f>
        <v>0</v>
      </c>
      <c r="E32" s="28">
        <f>SUM('2. sz. mell '!F62)</f>
        <v>0</v>
      </c>
      <c r="F32" s="28" t="e">
        <f t="shared" si="0"/>
        <v>#DIV/0!</v>
      </c>
    </row>
    <row r="33" spans="1:6" s="11" customFormat="1" ht="30.75" customHeight="1" x14ac:dyDescent="0.25">
      <c r="A33" s="3" t="s">
        <v>39</v>
      </c>
      <c r="B33" s="12" t="s">
        <v>1891</v>
      </c>
      <c r="C33" s="17">
        <f>+C34+C41</f>
        <v>604699</v>
      </c>
      <c r="D33" s="17">
        <f>+D34+D41</f>
        <v>0</v>
      </c>
      <c r="E33" s="17" t="e">
        <f>+E34+E41</f>
        <v>#REF!</v>
      </c>
      <c r="F33" s="17" t="e">
        <f t="shared" si="0"/>
        <v>#REF!</v>
      </c>
    </row>
    <row r="34" spans="1:6" s="11" customFormat="1" ht="31.5" customHeight="1" x14ac:dyDescent="0.25">
      <c r="A34" s="26" t="s">
        <v>40</v>
      </c>
      <c r="B34" s="30" t="s">
        <v>1859</v>
      </c>
      <c r="C34" s="31">
        <f>SUM('2. sz. mell '!D28)</f>
        <v>447504</v>
      </c>
      <c r="D34" s="31">
        <f>SUM('2. sz. mell '!E28)</f>
        <v>0</v>
      </c>
      <c r="E34" s="31" t="e">
        <f>SUM('2. sz. mell '!F28)</f>
        <v>#REF!</v>
      </c>
      <c r="F34" s="31" t="e">
        <f t="shared" si="0"/>
        <v>#REF!</v>
      </c>
    </row>
    <row r="35" spans="1:6" s="11" customFormat="1" ht="30.75" customHeight="1" x14ac:dyDescent="0.25">
      <c r="A35" s="14" t="s">
        <v>1853</v>
      </c>
      <c r="B35" s="32" t="s">
        <v>52</v>
      </c>
      <c r="C35" s="31">
        <f>SUM('2. sz. mell '!D29)</f>
        <v>442256</v>
      </c>
      <c r="D35" s="31">
        <f>SUM('2. sz. mell '!E29)</f>
        <v>0</v>
      </c>
      <c r="E35" s="31" t="e">
        <f>SUM('2. sz. mell '!F29)</f>
        <v>#REF!</v>
      </c>
      <c r="F35" s="31" t="e">
        <f t="shared" si="0"/>
        <v>#REF!</v>
      </c>
    </row>
    <row r="36" spans="1:6" s="11" customFormat="1" ht="27" customHeight="1" x14ac:dyDescent="0.25">
      <c r="A36" s="14" t="s">
        <v>1854</v>
      </c>
      <c r="B36" s="32" t="s">
        <v>54</v>
      </c>
      <c r="C36" s="31">
        <f>SUM('2. sz. mell '!D30)</f>
        <v>0</v>
      </c>
      <c r="D36" s="31">
        <f>SUM('2. sz. mell '!E30)</f>
        <v>0</v>
      </c>
      <c r="E36" s="31">
        <f>SUM('2. sz. mell '!F30)</f>
        <v>0</v>
      </c>
      <c r="F36" s="31"/>
    </row>
    <row r="37" spans="1:6" s="11" customFormat="1" ht="32.25" customHeight="1" x14ac:dyDescent="0.25">
      <c r="A37" s="14" t="s">
        <v>1855</v>
      </c>
      <c r="B37" s="32" t="s">
        <v>56</v>
      </c>
      <c r="C37" s="31">
        <f>SUM('2. sz. mell '!D31)</f>
        <v>0</v>
      </c>
      <c r="D37" s="31">
        <f>SUM('2. sz. mell '!E31)</f>
        <v>0</v>
      </c>
      <c r="E37" s="31">
        <f>SUM('2. sz. mell '!F31)</f>
        <v>0</v>
      </c>
      <c r="F37" s="31" t="e">
        <f t="shared" si="0"/>
        <v>#DIV/0!</v>
      </c>
    </row>
    <row r="38" spans="1:6" s="11" customFormat="1" ht="15" customHeight="1" x14ac:dyDescent="0.25">
      <c r="A38" s="14" t="s">
        <v>1856</v>
      </c>
      <c r="B38" s="32" t="s">
        <v>58</v>
      </c>
      <c r="C38" s="31">
        <f>SUM('2. sz. mell '!D32)</f>
        <v>0</v>
      </c>
      <c r="D38" s="31">
        <f>SUM('2. sz. mell '!E32)</f>
        <v>0</v>
      </c>
      <c r="E38" s="31">
        <f>SUM('2. sz. mell '!F32)</f>
        <v>0</v>
      </c>
      <c r="F38" s="31"/>
    </row>
    <row r="39" spans="1:6" s="11" customFormat="1" ht="15" customHeight="1" x14ac:dyDescent="0.25">
      <c r="A39" s="14" t="s">
        <v>1857</v>
      </c>
      <c r="B39" s="32" t="s">
        <v>1841</v>
      </c>
      <c r="C39" s="31">
        <f>SUM('2. sz. mell '!D33)</f>
        <v>5248</v>
      </c>
      <c r="D39" s="31">
        <f>SUM('2. sz. mell '!E33)</f>
        <v>0</v>
      </c>
      <c r="E39" s="31">
        <f>SUM('2. sz. mell '!F33)</f>
        <v>-791</v>
      </c>
      <c r="F39" s="31" t="e">
        <f t="shared" si="0"/>
        <v>#DIV/0!</v>
      </c>
    </row>
    <row r="40" spans="1:6" s="11" customFormat="1" ht="27" customHeight="1" x14ac:dyDescent="0.25">
      <c r="A40" s="14" t="s">
        <v>1858</v>
      </c>
      <c r="B40" s="32" t="s">
        <v>62</v>
      </c>
      <c r="C40" s="31">
        <f>SUM('2. sz. mell '!D34)</f>
        <v>0</v>
      </c>
      <c r="D40" s="31">
        <f>SUM('2. sz. mell '!E34)</f>
        <v>0</v>
      </c>
      <c r="E40" s="31">
        <f>SUM('2. sz. mell '!F34)</f>
        <v>0</v>
      </c>
      <c r="F40" s="31" t="e">
        <f>E40/D40*100</f>
        <v>#DIV/0!</v>
      </c>
    </row>
    <row r="41" spans="1:6" s="11" customFormat="1" ht="30" customHeight="1" x14ac:dyDescent="0.25">
      <c r="A41" s="14" t="s">
        <v>41</v>
      </c>
      <c r="B41" s="30" t="s">
        <v>1860</v>
      </c>
      <c r="C41" s="31">
        <f>SUM('2. sz. mell '!D36)</f>
        <v>157195</v>
      </c>
      <c r="D41" s="31">
        <f>SUM('2. sz. mell '!E36)</f>
        <v>0</v>
      </c>
      <c r="E41" s="31">
        <f>SUM('2. sz. mell '!F36)</f>
        <v>0</v>
      </c>
      <c r="F41" s="31"/>
    </row>
    <row r="42" spans="1:6" s="11" customFormat="1" ht="30.75" customHeight="1" x14ac:dyDescent="0.25">
      <c r="A42" s="14" t="s">
        <v>1861</v>
      </c>
      <c r="B42" s="32" t="s">
        <v>52</v>
      </c>
      <c r="C42" s="31">
        <f>SUM('2. sz. mell '!D37)</f>
        <v>0</v>
      </c>
      <c r="D42" s="31">
        <f>SUM('2. sz. mell '!E37)</f>
        <v>0</v>
      </c>
      <c r="E42" s="31">
        <f>SUM('2. sz. mell '!F37)</f>
        <v>0</v>
      </c>
      <c r="F42" s="31"/>
    </row>
    <row r="43" spans="1:6" s="11" customFormat="1" ht="24.75" customHeight="1" x14ac:dyDescent="0.25">
      <c r="A43" s="14" t="s">
        <v>1862</v>
      </c>
      <c r="B43" s="32" t="s">
        <v>54</v>
      </c>
      <c r="C43" s="31">
        <f>SUM('2. sz. mell '!D38)</f>
        <v>0</v>
      </c>
      <c r="D43" s="31">
        <f>SUM('2. sz. mell '!E38)</f>
        <v>0</v>
      </c>
      <c r="E43" s="31">
        <f>SUM('2. sz. mell '!F38)</f>
        <v>0</v>
      </c>
      <c r="F43" s="31"/>
    </row>
    <row r="44" spans="1:6" s="11" customFormat="1" ht="27" customHeight="1" x14ac:dyDescent="0.25">
      <c r="A44" s="14" t="s">
        <v>1863</v>
      </c>
      <c r="B44" s="32" t="s">
        <v>56</v>
      </c>
      <c r="C44" s="31">
        <f>SUM('2. sz. mell '!D39)</f>
        <v>0</v>
      </c>
      <c r="D44" s="31">
        <f>SUM('2. sz. mell '!E39)</f>
        <v>0</v>
      </c>
      <c r="E44" s="31">
        <f>SUM('2. sz. mell '!F39)</f>
        <v>0</v>
      </c>
      <c r="F44" s="31"/>
    </row>
    <row r="45" spans="1:6" s="11" customFormat="1" ht="15" customHeight="1" x14ac:dyDescent="0.25">
      <c r="A45" s="14" t="s">
        <v>1864</v>
      </c>
      <c r="B45" s="32" t="s">
        <v>58</v>
      </c>
      <c r="C45" s="31">
        <f>SUM('2. sz. mell '!D40)</f>
        <v>0</v>
      </c>
      <c r="D45" s="31">
        <f>SUM('2. sz. mell '!E40)</f>
        <v>0</v>
      </c>
      <c r="E45" s="31">
        <f>SUM('2. sz. mell '!F40)</f>
        <v>0</v>
      </c>
      <c r="F45" s="31"/>
    </row>
    <row r="46" spans="1:6" s="11" customFormat="1" ht="27.75" customHeight="1" thickBot="1" x14ac:dyDescent="0.3">
      <c r="A46" s="14" t="s">
        <v>1865</v>
      </c>
      <c r="B46" s="34" t="s">
        <v>1842</v>
      </c>
      <c r="C46" s="35">
        <f>SUM('2. sz. mell '!D41)</f>
        <v>157195</v>
      </c>
      <c r="D46" s="35">
        <f>SUM('2. sz. mell '!E41)</f>
        <v>0</v>
      </c>
      <c r="E46" s="35">
        <f>SUM('2. sz. mell '!F41)</f>
        <v>0</v>
      </c>
      <c r="F46" s="35"/>
    </row>
    <row r="47" spans="1:6" s="11" customFormat="1" ht="28.5" customHeight="1" thickBot="1" x14ac:dyDescent="0.3">
      <c r="A47" s="23"/>
      <c r="B47" s="940" t="s">
        <v>77</v>
      </c>
      <c r="C47" s="941"/>
      <c r="D47" s="941">
        <f>SUM('2. sz. mell '!E42)</f>
        <v>0</v>
      </c>
      <c r="E47" s="941" t="e">
        <f>SUM('2. sz. mell '!F42)</f>
        <v>#REF!</v>
      </c>
      <c r="F47" s="942" t="e">
        <f t="shared" si="0"/>
        <v>#REF!</v>
      </c>
    </row>
    <row r="48" spans="1:6" s="11" customFormat="1" ht="30" customHeight="1" thickBot="1" x14ac:dyDescent="0.3">
      <c r="A48" s="3" t="s">
        <v>1866</v>
      </c>
      <c r="B48" s="12" t="s">
        <v>1892</v>
      </c>
      <c r="C48" s="17">
        <f>SUM(C49:C51)</f>
        <v>200000</v>
      </c>
      <c r="D48" s="17">
        <f>SUM(D49:D51)</f>
        <v>0</v>
      </c>
      <c r="E48" s="17" t="e">
        <f>SUM(E49:E51)</f>
        <v>#REF!</v>
      </c>
      <c r="F48" s="17" t="e">
        <f t="shared" si="0"/>
        <v>#REF!</v>
      </c>
    </row>
    <row r="49" spans="1:8" s="11" customFormat="1" ht="31.5" customHeight="1" x14ac:dyDescent="0.25">
      <c r="A49" s="26" t="s">
        <v>1867</v>
      </c>
      <c r="B49" s="27" t="s">
        <v>71</v>
      </c>
      <c r="C49" s="28">
        <f>SUM('2. sz. mell '!D46)</f>
        <v>200000</v>
      </c>
      <c r="D49" s="28">
        <f>SUM('2. sz. mell '!E46)</f>
        <v>0</v>
      </c>
      <c r="E49" s="28" t="e">
        <f>SUM('2. sz. mell '!F46)</f>
        <v>#REF!</v>
      </c>
      <c r="F49" s="28" t="e">
        <f t="shared" si="0"/>
        <v>#REF!</v>
      </c>
    </row>
    <row r="50" spans="1:8" s="11" customFormat="1" ht="15" customHeight="1" x14ac:dyDescent="0.25">
      <c r="A50" s="26" t="s">
        <v>1868</v>
      </c>
      <c r="B50" s="15" t="s">
        <v>73</v>
      </c>
      <c r="C50" s="28">
        <f>SUM('2. sz. mell '!D47)</f>
        <v>0</v>
      </c>
      <c r="D50" s="28">
        <f>SUM('2. sz. mell '!E47)</f>
        <v>0</v>
      </c>
      <c r="E50" s="28">
        <f>SUM('2. sz. mell '!F47)</f>
        <v>0</v>
      </c>
      <c r="F50" s="28"/>
    </row>
    <row r="51" spans="1:8" s="11" customFormat="1" ht="15" customHeight="1" x14ac:dyDescent="0.25">
      <c r="A51" s="26" t="s">
        <v>1869</v>
      </c>
      <c r="B51" s="36" t="s">
        <v>74</v>
      </c>
      <c r="C51" s="37">
        <f>SUM('2. sz. mell '!D48)</f>
        <v>0</v>
      </c>
      <c r="D51" s="37">
        <f>SUM('2. sz. mell '!E48)</f>
        <v>0</v>
      </c>
      <c r="E51" s="37">
        <f>SUM('2. sz. mell '!F48)</f>
        <v>0</v>
      </c>
      <c r="F51" s="37" t="e">
        <f t="shared" si="0"/>
        <v>#DIV/0!</v>
      </c>
    </row>
    <row r="52" spans="1:8" s="11" customFormat="1" ht="15" customHeight="1" x14ac:dyDescent="0.25">
      <c r="A52" s="3" t="s">
        <v>179</v>
      </c>
      <c r="B52" s="12" t="s">
        <v>1893</v>
      </c>
      <c r="C52" s="38">
        <f>SUM('2. sz. mell '!D49)</f>
        <v>500</v>
      </c>
      <c r="D52" s="38">
        <f>SUM('2. sz. mell '!E49)</f>
        <v>0</v>
      </c>
      <c r="E52" s="38" t="e">
        <f>SUM('2. sz. mell '!F49)</f>
        <v>#REF!</v>
      </c>
      <c r="F52" s="38" t="e">
        <f t="shared" si="0"/>
        <v>#REF!</v>
      </c>
    </row>
    <row r="53" spans="1:8" s="11" customFormat="1" ht="15" customHeight="1" x14ac:dyDescent="0.25">
      <c r="A53" s="26" t="s">
        <v>70</v>
      </c>
      <c r="B53" s="15" t="s">
        <v>77</v>
      </c>
      <c r="C53" s="28">
        <f>SUM('2. sz. mell '!D42)</f>
        <v>0</v>
      </c>
      <c r="D53" s="28">
        <f>SUM('2. sz. mell '!E42)</f>
        <v>0</v>
      </c>
      <c r="E53" s="28" t="e">
        <f>SUM('2. sz. mell '!F42)</f>
        <v>#REF!</v>
      </c>
      <c r="F53" s="28" t="e">
        <f t="shared" si="0"/>
        <v>#REF!</v>
      </c>
    </row>
    <row r="54" spans="1:8" s="11" customFormat="1" ht="15" customHeight="1" x14ac:dyDescent="0.25">
      <c r="A54" s="21" t="s">
        <v>72</v>
      </c>
      <c r="B54" s="15" t="s">
        <v>79</v>
      </c>
      <c r="C54" s="37">
        <f>SUM('2. sz. mell '!D50)</f>
        <v>500</v>
      </c>
      <c r="D54" s="37">
        <f>SUM('2. sz. mell '!E50)</f>
        <v>0</v>
      </c>
      <c r="E54" s="37" t="e">
        <f>SUM('2. sz. mell '!F50)</f>
        <v>#REF!</v>
      </c>
      <c r="F54" s="37" t="e">
        <f t="shared" si="0"/>
        <v>#REF!</v>
      </c>
    </row>
    <row r="55" spans="1:8" s="11" customFormat="1" ht="28.5" x14ac:dyDescent="0.25">
      <c r="A55" s="3" t="s">
        <v>1870</v>
      </c>
      <c r="B55" s="12" t="s">
        <v>1894</v>
      </c>
      <c r="C55" s="38">
        <f>SUM('2. sz. mell '!D51)</f>
        <v>500</v>
      </c>
      <c r="D55" s="38">
        <f>SUM('2. sz. mell '!E51)</f>
        <v>0</v>
      </c>
      <c r="E55" s="38">
        <f>SUM('2. sz. mell '!F51)</f>
        <v>0</v>
      </c>
      <c r="F55" s="38" t="e">
        <f t="shared" si="0"/>
        <v>#DIV/0!</v>
      </c>
      <c r="H55" s="39"/>
    </row>
    <row r="56" spans="1:8" s="11" customFormat="1" ht="33" customHeight="1" x14ac:dyDescent="0.25">
      <c r="A56" s="3" t="s">
        <v>207</v>
      </c>
      <c r="B56" s="40" t="s">
        <v>2012</v>
      </c>
      <c r="C56" s="41">
        <f>+C4+C48+C52+C55+C41</f>
        <v>3273191</v>
      </c>
      <c r="D56" s="41">
        <f>+D4+D24+D33+D48+D52+D55+D47</f>
        <v>0</v>
      </c>
      <c r="E56" s="41" t="e">
        <f>+E4+E24+E33+E48+E52+E55+E47</f>
        <v>#REF!</v>
      </c>
      <c r="F56" s="41" t="e">
        <f t="shared" si="0"/>
        <v>#REF!</v>
      </c>
    </row>
    <row r="57" spans="1:8" s="11" customFormat="1" ht="32.25" customHeight="1" x14ac:dyDescent="0.25">
      <c r="A57" s="42" t="s">
        <v>80</v>
      </c>
      <c r="B57" s="12" t="s">
        <v>1895</v>
      </c>
      <c r="C57" s="38">
        <f>SUM('2. sz. mell '!D67)</f>
        <v>0</v>
      </c>
      <c r="D57" s="38">
        <f>SUM('2. sz. mell '!E67)</f>
        <v>0</v>
      </c>
      <c r="E57" s="38" t="e">
        <f>SUM('2. sz. mell '!F67)</f>
        <v>#REF!</v>
      </c>
      <c r="F57" s="38" t="e">
        <f t="shared" si="0"/>
        <v>#REF!</v>
      </c>
    </row>
    <row r="58" spans="1:8" s="11" customFormat="1" ht="30.75" customHeight="1" x14ac:dyDescent="0.25">
      <c r="A58" s="18" t="s">
        <v>1871</v>
      </c>
      <c r="B58" s="19" t="s">
        <v>83</v>
      </c>
      <c r="C58" s="28">
        <f>SUM('2. sz. mell '!D68)</f>
        <v>0</v>
      </c>
      <c r="D58" s="28">
        <f>SUM('2. sz. mell '!E68)</f>
        <v>0</v>
      </c>
      <c r="E58" s="28" t="e">
        <f>SUM('2. sz. mell '!F68)</f>
        <v>#REF!</v>
      </c>
      <c r="F58" s="28" t="e">
        <f t="shared" si="0"/>
        <v>#REF!</v>
      </c>
    </row>
    <row r="59" spans="1:8" s="11" customFormat="1" ht="29.25" customHeight="1" x14ac:dyDescent="0.25">
      <c r="A59" s="23" t="s">
        <v>1872</v>
      </c>
      <c r="B59" s="24" t="s">
        <v>85</v>
      </c>
      <c r="C59" s="43">
        <f>SUM('2. sz. mell '!D69)</f>
        <v>0</v>
      </c>
      <c r="D59" s="43">
        <f>SUM('2. sz. mell '!E69)</f>
        <v>0</v>
      </c>
      <c r="E59" s="43">
        <f>SUM('2. sz. mell '!F69)</f>
        <v>0</v>
      </c>
      <c r="F59" s="43" t="e">
        <f t="shared" si="0"/>
        <v>#DIV/0!</v>
      </c>
    </row>
    <row r="60" spans="1:8" s="11" customFormat="1" ht="28.5" x14ac:dyDescent="0.25">
      <c r="A60" s="42" t="s">
        <v>81</v>
      </c>
      <c r="B60" s="12" t="s">
        <v>1896</v>
      </c>
      <c r="C60" s="17">
        <f>SUM(C61,C68)</f>
        <v>0</v>
      </c>
      <c r="D60" s="17">
        <f>SUM(D61,D68)</f>
        <v>0</v>
      </c>
      <c r="E60" s="17">
        <f>SUM(E61,E68)</f>
        <v>0</v>
      </c>
      <c r="F60" s="17"/>
    </row>
    <row r="61" spans="1:8" s="11" customFormat="1" ht="30" customHeight="1" x14ac:dyDescent="0.25">
      <c r="A61" s="18" t="s">
        <v>82</v>
      </c>
      <c r="B61" s="30" t="s">
        <v>1873</v>
      </c>
      <c r="C61" s="44">
        <f>SUM(C62:C67)</f>
        <v>0</v>
      </c>
      <c r="D61" s="44">
        <f>SUM(D62:D67)</f>
        <v>0</v>
      </c>
      <c r="E61" s="44">
        <f>SUM(E62:E67)</f>
        <v>0</v>
      </c>
      <c r="F61" s="44"/>
    </row>
    <row r="62" spans="1:8" s="11" customFormat="1" ht="15" customHeight="1" x14ac:dyDescent="0.25">
      <c r="A62" s="26" t="s">
        <v>1874</v>
      </c>
      <c r="B62" s="45" t="s">
        <v>88</v>
      </c>
      <c r="C62" s="16"/>
      <c r="D62" s="16"/>
      <c r="E62" s="16"/>
      <c r="F62" s="16"/>
    </row>
    <row r="63" spans="1:8" s="11" customFormat="1" ht="15" customHeight="1" x14ac:dyDescent="0.25">
      <c r="A63" s="26" t="s">
        <v>1875</v>
      </c>
      <c r="B63" s="45" t="s">
        <v>89</v>
      </c>
      <c r="C63" s="16"/>
      <c r="D63" s="16"/>
      <c r="E63" s="16">
        <f>SUM('2. sz. mell '!F71)</f>
        <v>0</v>
      </c>
      <c r="F63" s="16"/>
    </row>
    <row r="64" spans="1:8" s="11" customFormat="1" ht="15" customHeight="1" x14ac:dyDescent="0.25">
      <c r="A64" s="26" t="s">
        <v>1876</v>
      </c>
      <c r="B64" s="45" t="s">
        <v>90</v>
      </c>
      <c r="C64" s="37"/>
      <c r="D64" s="37"/>
      <c r="E64" s="37"/>
      <c r="F64" s="37"/>
    </row>
    <row r="65" spans="1:10" s="11" customFormat="1" ht="25.5" customHeight="1" x14ac:dyDescent="0.25">
      <c r="A65" s="26" t="s">
        <v>1877</v>
      </c>
      <c r="B65" s="45" t="s">
        <v>91</v>
      </c>
      <c r="C65" s="46"/>
      <c r="D65" s="46"/>
      <c r="E65" s="46"/>
      <c r="F65" s="46"/>
    </row>
    <row r="66" spans="1:10" s="11" customFormat="1" ht="15" customHeight="1" x14ac:dyDescent="0.25">
      <c r="A66" s="26" t="s">
        <v>1878</v>
      </c>
      <c r="B66" s="45" t="s">
        <v>92</v>
      </c>
      <c r="C66" s="46"/>
      <c r="D66" s="46"/>
      <c r="E66" s="46"/>
      <c r="F66" s="46"/>
    </row>
    <row r="67" spans="1:10" s="11" customFormat="1" ht="15" customHeight="1" x14ac:dyDescent="0.25">
      <c r="A67" s="26" t="s">
        <v>1879</v>
      </c>
      <c r="B67" s="45" t="s">
        <v>93</v>
      </c>
      <c r="C67" s="46"/>
      <c r="D67" s="46"/>
      <c r="E67" s="46"/>
      <c r="F67" s="46"/>
    </row>
    <row r="68" spans="1:10" s="11" customFormat="1" ht="28.5" customHeight="1" x14ac:dyDescent="0.25">
      <c r="A68" s="26" t="s">
        <v>84</v>
      </c>
      <c r="B68" s="30" t="s">
        <v>1887</v>
      </c>
      <c r="C68" s="47">
        <f>SUM(C69:C75)</f>
        <v>0</v>
      </c>
      <c r="D68" s="47">
        <f>SUM(D69:D75)</f>
        <v>0</v>
      </c>
      <c r="E68" s="47">
        <f>SUM(E69:E75)</f>
        <v>0</v>
      </c>
      <c r="F68" s="47"/>
    </row>
    <row r="69" spans="1:10" s="11" customFormat="1" ht="15" customHeight="1" x14ac:dyDescent="0.25">
      <c r="A69" s="26" t="s">
        <v>1880</v>
      </c>
      <c r="B69" s="45" t="s">
        <v>88</v>
      </c>
      <c r="C69" s="16"/>
      <c r="D69" s="16"/>
      <c r="E69" s="16"/>
      <c r="F69" s="16"/>
    </row>
    <row r="70" spans="1:10" s="11" customFormat="1" ht="15" customHeight="1" x14ac:dyDescent="0.25">
      <c r="A70" s="26" t="s">
        <v>1881</v>
      </c>
      <c r="B70" s="45" t="s">
        <v>95</v>
      </c>
      <c r="C70" s="16"/>
      <c r="D70" s="16"/>
      <c r="E70" s="16"/>
      <c r="F70" s="16"/>
    </row>
    <row r="71" spans="1:10" s="11" customFormat="1" ht="15" customHeight="1" x14ac:dyDescent="0.25">
      <c r="A71" s="26" t="s">
        <v>1882</v>
      </c>
      <c r="B71" s="45" t="s">
        <v>96</v>
      </c>
      <c r="C71" s="37"/>
      <c r="D71" s="37"/>
      <c r="E71" s="37"/>
      <c r="F71" s="37"/>
    </row>
    <row r="72" spans="1:10" s="11" customFormat="1" ht="15" customHeight="1" x14ac:dyDescent="0.25">
      <c r="A72" s="26" t="s">
        <v>1883</v>
      </c>
      <c r="B72" s="45" t="s">
        <v>90</v>
      </c>
      <c r="C72" s="16"/>
      <c r="D72" s="16"/>
      <c r="E72" s="16"/>
      <c r="F72" s="16"/>
    </row>
    <row r="73" spans="1:10" s="11" customFormat="1" ht="25.5" customHeight="1" x14ac:dyDescent="0.25">
      <c r="A73" s="26" t="s">
        <v>1884</v>
      </c>
      <c r="B73" s="48" t="s">
        <v>97</v>
      </c>
      <c r="C73" s="37"/>
      <c r="D73" s="37"/>
      <c r="E73" s="37"/>
      <c r="F73" s="37"/>
    </row>
    <row r="74" spans="1:10" s="11" customFormat="1" ht="15" customHeight="1" x14ac:dyDescent="0.25">
      <c r="A74" s="26" t="s">
        <v>1885</v>
      </c>
      <c r="B74" s="48" t="s">
        <v>92</v>
      </c>
      <c r="C74" s="16"/>
      <c r="D74" s="16"/>
      <c r="E74" s="16"/>
      <c r="F74" s="16"/>
    </row>
    <row r="75" spans="1:10" s="11" customFormat="1" ht="15" customHeight="1" thickBot="1" x14ac:dyDescent="0.3">
      <c r="A75" s="26" t="s">
        <v>1886</v>
      </c>
      <c r="B75" s="34" t="s">
        <v>98</v>
      </c>
      <c r="C75" s="43"/>
      <c r="D75" s="43"/>
      <c r="E75" s="43"/>
      <c r="F75" s="43"/>
    </row>
    <row r="76" spans="1:10" s="11" customFormat="1" ht="15" customHeight="1" thickBot="1" x14ac:dyDescent="0.3">
      <c r="A76" s="42" t="s">
        <v>86</v>
      </c>
      <c r="B76" s="12" t="s">
        <v>1897</v>
      </c>
      <c r="C76" s="49"/>
      <c r="D76" s="49">
        <f>SUM('2. sz. mell '!E74)</f>
        <v>0</v>
      </c>
      <c r="E76" s="49" t="e">
        <f>SUM('2. sz. mell '!F74)</f>
        <v>#REF!</v>
      </c>
      <c r="F76" s="49"/>
    </row>
    <row r="77" spans="1:10" s="54" customFormat="1" ht="27" customHeight="1" thickBot="1" x14ac:dyDescent="0.25">
      <c r="A77" s="50" t="s">
        <v>99</v>
      </c>
      <c r="B77" s="51" t="s">
        <v>1888</v>
      </c>
      <c r="C77" s="52">
        <f>+C56+C57+C60</f>
        <v>3273191</v>
      </c>
      <c r="D77" s="52">
        <f>+D56+D57+D60+D76</f>
        <v>0</v>
      </c>
      <c r="E77" s="52" t="e">
        <f>+E56+E57+E60+E76</f>
        <v>#REF!</v>
      </c>
      <c r="F77" s="52" t="e">
        <f>E77/D77*100</f>
        <v>#REF!</v>
      </c>
      <c r="G77" s="53"/>
      <c r="I77" s="52">
        <f>SUM('1.1.sz.mell  '!D36-'1.sz.mell.'!D77)</f>
        <v>0</v>
      </c>
      <c r="J77" s="52" t="e">
        <f>SUM('1.1.sz.mell  '!E36-'1.sz.mell.'!E77)</f>
        <v>#REF!</v>
      </c>
    </row>
    <row r="78" spans="1:10" ht="20.25" customHeight="1" thickBot="1" x14ac:dyDescent="0.3">
      <c r="A78" s="1528" t="s">
        <v>101</v>
      </c>
      <c r="B78" s="1528"/>
      <c r="C78" s="1528"/>
      <c r="D78" s="55"/>
      <c r="E78" s="55"/>
      <c r="F78" s="55"/>
    </row>
    <row r="79" spans="1:10" s="11" customFormat="1" ht="29.25" x14ac:dyDescent="0.25">
      <c r="A79" s="8" t="s">
        <v>5</v>
      </c>
      <c r="B79" s="56" t="s">
        <v>102</v>
      </c>
      <c r="C79" s="58">
        <f>SUM(C80+C81+C82+C83+C84+C95)</f>
        <v>2703654</v>
      </c>
      <c r="D79" s="58">
        <f>SUM(D80+D81+D82+D83+D84+D95)-D83</f>
        <v>0</v>
      </c>
      <c r="E79" s="58" t="e">
        <f>SUM(E80+E81+E82+E83+E84+E95)-E83</f>
        <v>#REF!</v>
      </c>
      <c r="F79" s="58" t="e">
        <f t="shared" ref="F79:F86" si="1">E79/D79*100</f>
        <v>#REF!</v>
      </c>
    </row>
    <row r="80" spans="1:10" s="11" customFormat="1" ht="15" customHeight="1" x14ac:dyDescent="0.25">
      <c r="A80" s="18" t="s">
        <v>103</v>
      </c>
      <c r="B80" s="19" t="s">
        <v>104</v>
      </c>
      <c r="C80" s="59">
        <f>SUM('2. sz. mell '!D78)</f>
        <v>904670</v>
      </c>
      <c r="D80" s="59">
        <f>SUM('2. sz. mell '!E78)</f>
        <v>0</v>
      </c>
      <c r="E80" s="59" t="e">
        <f>SUM('2. sz. mell '!F78)</f>
        <v>#REF!</v>
      </c>
      <c r="F80" s="59" t="e">
        <f t="shared" si="1"/>
        <v>#REF!</v>
      </c>
    </row>
    <row r="81" spans="1:6" s="11" customFormat="1" ht="30" customHeight="1" x14ac:dyDescent="0.25">
      <c r="A81" s="14" t="s">
        <v>105</v>
      </c>
      <c r="B81" s="15" t="s">
        <v>106</v>
      </c>
      <c r="C81" s="60">
        <f>SUM('2. sz. mell '!D79)</f>
        <v>250657</v>
      </c>
      <c r="D81" s="60">
        <f>SUM('2. sz. mell '!E79)</f>
        <v>0</v>
      </c>
      <c r="E81" s="60" t="e">
        <f>SUM('2. sz. mell '!F79)</f>
        <v>#REF!</v>
      </c>
      <c r="F81" s="60" t="e">
        <f t="shared" si="1"/>
        <v>#REF!</v>
      </c>
    </row>
    <row r="82" spans="1:6" s="11" customFormat="1" ht="15" customHeight="1" x14ac:dyDescent="0.25">
      <c r="A82" s="14" t="s">
        <v>107</v>
      </c>
      <c r="B82" s="15" t="s">
        <v>108</v>
      </c>
      <c r="C82" s="60">
        <f>SUM('2. sz. mell '!D80)</f>
        <v>1364695</v>
      </c>
      <c r="D82" s="60">
        <f>SUM('2. sz. mell '!E80)</f>
        <v>0</v>
      </c>
      <c r="E82" s="60" t="e">
        <f>SUM('2. sz. mell '!F80)</f>
        <v>#REF!</v>
      </c>
      <c r="F82" s="60" t="e">
        <f t="shared" si="1"/>
        <v>#REF!</v>
      </c>
    </row>
    <row r="83" spans="1:6" s="11" customFormat="1" ht="19.5" customHeight="1" x14ac:dyDescent="0.25">
      <c r="A83" s="14" t="s">
        <v>109</v>
      </c>
      <c r="B83" s="15" t="s">
        <v>110</v>
      </c>
      <c r="C83" s="60">
        <f>SUM('2. sz. mell '!D82)</f>
        <v>40000</v>
      </c>
      <c r="D83" s="60">
        <f>SUM('2. sz. mell '!E82)</f>
        <v>0</v>
      </c>
      <c r="E83" s="60">
        <f>SUM('2. sz. mell '!F82)</f>
        <v>0</v>
      </c>
      <c r="F83" s="60" t="e">
        <f t="shared" si="1"/>
        <v>#DIV/0!</v>
      </c>
    </row>
    <row r="84" spans="1:6" s="11" customFormat="1" ht="15" customHeight="1" x14ac:dyDescent="0.25">
      <c r="A84" s="14" t="s">
        <v>111</v>
      </c>
      <c r="B84" s="61" t="s">
        <v>112</v>
      </c>
      <c r="C84" s="60">
        <f>SUM('2. sz. mell '!D81)</f>
        <v>143632</v>
      </c>
      <c r="D84" s="60">
        <f>SUM('2. sz. mell '!E81)</f>
        <v>0</v>
      </c>
      <c r="E84" s="60" t="e">
        <f>SUM('2. sz. mell '!F81)</f>
        <v>#REF!</v>
      </c>
      <c r="F84" s="60" t="e">
        <f t="shared" si="1"/>
        <v>#REF!</v>
      </c>
    </row>
    <row r="85" spans="1:6" s="11" customFormat="1" ht="15" customHeight="1" x14ac:dyDescent="0.25">
      <c r="A85" s="62" t="s">
        <v>113</v>
      </c>
      <c r="B85" s="15" t="s">
        <v>114</v>
      </c>
      <c r="C85" s="60">
        <f>SUM('2. sz. mell '!D83)</f>
        <v>9986</v>
      </c>
      <c r="D85" s="60">
        <f>SUM('2. sz. mell '!E83)</f>
        <v>0</v>
      </c>
      <c r="E85" s="60">
        <f>SUM('2. sz. mell '!F83)</f>
        <v>0</v>
      </c>
      <c r="F85" s="60" t="e">
        <f t="shared" si="1"/>
        <v>#DIV/0!</v>
      </c>
    </row>
    <row r="86" spans="1:6" s="11" customFormat="1" ht="15" customHeight="1" x14ac:dyDescent="0.25">
      <c r="A86" s="62" t="s">
        <v>115</v>
      </c>
      <c r="B86" s="15" t="s">
        <v>116</v>
      </c>
      <c r="C86" s="60">
        <f>SUM('2. sz. mell '!D84)</f>
        <v>133646</v>
      </c>
      <c r="D86" s="60">
        <f>SUM('2. sz. mell '!E84)</f>
        <v>0</v>
      </c>
      <c r="E86" s="60">
        <f>SUM('2. sz. mell '!F84)</f>
        <v>0</v>
      </c>
      <c r="F86" s="60" t="e">
        <f t="shared" si="1"/>
        <v>#DIV/0!</v>
      </c>
    </row>
    <row r="87" spans="1:6" s="11" customFormat="1" ht="15" customHeight="1" x14ac:dyDescent="0.25">
      <c r="A87" s="14" t="s">
        <v>117</v>
      </c>
      <c r="B87" s="63" t="s">
        <v>118</v>
      </c>
      <c r="C87" s="60">
        <f>SUM('2. sz. mell '!D85)</f>
        <v>0</v>
      </c>
      <c r="D87" s="60">
        <f>SUM('2. sz. mell '!E85)</f>
        <v>0</v>
      </c>
      <c r="E87" s="60">
        <f>SUM('2. sz. mell '!F85)</f>
        <v>0</v>
      </c>
      <c r="F87" s="60"/>
    </row>
    <row r="88" spans="1:6" s="11" customFormat="1" ht="15" customHeight="1" x14ac:dyDescent="0.25">
      <c r="A88" s="14" t="s">
        <v>119</v>
      </c>
      <c r="B88" s="64" t="s">
        <v>120</v>
      </c>
      <c r="C88" s="60">
        <f>SUM('2. sz. mell '!D86)</f>
        <v>0</v>
      </c>
      <c r="D88" s="60">
        <f>SUM('2. sz. mell '!E86)</f>
        <v>0</v>
      </c>
      <c r="E88" s="60">
        <f>SUM('2. sz. mell '!F86)</f>
        <v>0</v>
      </c>
      <c r="F88" s="60"/>
    </row>
    <row r="89" spans="1:6" s="11" customFormat="1" ht="15" customHeight="1" x14ac:dyDescent="0.25">
      <c r="A89" s="14" t="s">
        <v>121</v>
      </c>
      <c r="B89" s="63" t="s">
        <v>122</v>
      </c>
      <c r="C89" s="60">
        <f>SUM('2. sz. mell '!D87)</f>
        <v>0</v>
      </c>
      <c r="D89" s="60">
        <f>SUM('2. sz. mell '!E87)</f>
        <v>0</v>
      </c>
      <c r="E89" s="60">
        <f>SUM('2. sz. mell '!F87)</f>
        <v>0</v>
      </c>
      <c r="F89" s="60"/>
    </row>
    <row r="90" spans="1:6" s="11" customFormat="1" ht="30" customHeight="1" x14ac:dyDescent="0.25">
      <c r="A90" s="14" t="s">
        <v>123</v>
      </c>
      <c r="B90" s="68" t="s">
        <v>124</v>
      </c>
      <c r="C90" s="60">
        <f>SUM('2. sz. mell '!D88)</f>
        <v>101646</v>
      </c>
      <c r="D90" s="60">
        <f>SUM('2. sz. mell '!E88)</f>
        <v>0</v>
      </c>
      <c r="E90" s="60">
        <f>SUM('2. sz. mell '!F88)</f>
        <v>0</v>
      </c>
      <c r="F90" s="60" t="e">
        <f>E90/D90*100</f>
        <v>#DIV/0!</v>
      </c>
    </row>
    <row r="91" spans="1:6" s="11" customFormat="1" ht="15" customHeight="1" x14ac:dyDescent="0.25">
      <c r="A91" s="14" t="s">
        <v>125</v>
      </c>
      <c r="B91" s="63" t="s">
        <v>126</v>
      </c>
      <c r="C91" s="60">
        <f>SUM('2. sz. mell '!D89)</f>
        <v>0</v>
      </c>
      <c r="D91" s="60">
        <f>SUM('2. sz. mell '!E89)</f>
        <v>0</v>
      </c>
      <c r="E91" s="60">
        <f>SUM('2. sz. mell '!F89)</f>
        <v>0</v>
      </c>
      <c r="F91" s="60"/>
    </row>
    <row r="92" spans="1:6" s="11" customFormat="1" ht="29.25" customHeight="1" x14ac:dyDescent="0.25">
      <c r="A92" s="21" t="s">
        <v>127</v>
      </c>
      <c r="B92" s="68" t="s">
        <v>128</v>
      </c>
      <c r="C92" s="60">
        <f>SUM('2. sz. mell '!D90)</f>
        <v>0</v>
      </c>
      <c r="D92" s="60">
        <f>SUM('2. sz. mell '!E90)</f>
        <v>0</v>
      </c>
      <c r="E92" s="60">
        <f>SUM('2. sz. mell '!F90)</f>
        <v>0</v>
      </c>
      <c r="F92" s="60"/>
    </row>
    <row r="93" spans="1:6" s="11" customFormat="1" ht="15" customHeight="1" x14ac:dyDescent="0.25">
      <c r="A93" s="14" t="s">
        <v>129</v>
      </c>
      <c r="B93" s="63" t="s">
        <v>130</v>
      </c>
      <c r="C93" s="60">
        <f>SUM('2. sz. mell '!D91)</f>
        <v>32000</v>
      </c>
      <c r="D93" s="60">
        <f>SUM('2. sz. mell '!E91)</f>
        <v>0</v>
      </c>
      <c r="E93" s="60">
        <f>SUM('2. sz. mell '!F91)</f>
        <v>0</v>
      </c>
      <c r="F93" s="60"/>
    </row>
    <row r="94" spans="1:6" s="11" customFormat="1" ht="15" customHeight="1" x14ac:dyDescent="0.25">
      <c r="A94" s="29" t="s">
        <v>131</v>
      </c>
      <c r="B94" s="63" t="s">
        <v>132</v>
      </c>
      <c r="C94" s="65">
        <f>SUM('2. sz. mell '!D92)</f>
        <v>0</v>
      </c>
      <c r="D94" s="65">
        <f>SUM('2. sz. mell '!E92)</f>
        <v>0</v>
      </c>
      <c r="E94" s="65">
        <f>SUM('2. sz. mell '!F92)</f>
        <v>0</v>
      </c>
      <c r="F94" s="65"/>
    </row>
    <row r="95" spans="1:6" s="11" customFormat="1" ht="15" customHeight="1" x14ac:dyDescent="0.25">
      <c r="A95" s="33"/>
      <c r="B95" s="15" t="s">
        <v>110</v>
      </c>
      <c r="C95" s="66"/>
      <c r="D95" s="66">
        <f>SUM('2. sz. mell '!E99)</f>
        <v>0</v>
      </c>
      <c r="E95" s="66">
        <f>SUM('2. sz. mell '!F99)</f>
        <v>0</v>
      </c>
      <c r="F95" s="66"/>
    </row>
    <row r="96" spans="1:6" s="11" customFormat="1" ht="29.25" x14ac:dyDescent="0.25">
      <c r="A96" s="3" t="s">
        <v>6</v>
      </c>
      <c r="B96" s="67" t="s">
        <v>133</v>
      </c>
      <c r="C96" s="58">
        <f>SUM(C97:C103)</f>
        <v>246932</v>
      </c>
      <c r="D96" s="58" t="e">
        <f>SUM(D97:D103)</f>
        <v>#REF!</v>
      </c>
      <c r="E96" s="58" t="e">
        <f>SUM(E97:E103)</f>
        <v>#REF!</v>
      </c>
      <c r="F96" s="58" t="e">
        <f>E96/D96*100</f>
        <v>#REF!</v>
      </c>
    </row>
    <row r="97" spans="1:6" s="11" customFormat="1" ht="15" customHeight="1" x14ac:dyDescent="0.25">
      <c r="A97" s="26" t="s">
        <v>7</v>
      </c>
      <c r="B97" s="15" t="s">
        <v>134</v>
      </c>
      <c r="C97" s="59">
        <f>SUM('2. sz. mell '!D102)</f>
        <v>116000</v>
      </c>
      <c r="D97" s="59" t="e">
        <f>SUM('2. sz. mell '!E102)</f>
        <v>#REF!</v>
      </c>
      <c r="E97" s="59" t="e">
        <f>SUM('2. sz. mell '!F102)</f>
        <v>#REF!</v>
      </c>
      <c r="F97" s="59" t="e">
        <f>E97/D97*100</f>
        <v>#REF!</v>
      </c>
    </row>
    <row r="98" spans="1:6" s="11" customFormat="1" ht="15" customHeight="1" x14ac:dyDescent="0.25">
      <c r="A98" s="26" t="s">
        <v>9</v>
      </c>
      <c r="B98" s="15" t="s">
        <v>135</v>
      </c>
      <c r="C98" s="59">
        <f>SUM('2. sz. mell '!D103)</f>
        <v>25000</v>
      </c>
      <c r="D98" s="59" t="e">
        <f>SUM('2. sz. mell '!E103)</f>
        <v>#REF!</v>
      </c>
      <c r="E98" s="59" t="e">
        <f>SUM('2. sz. mell '!F103)</f>
        <v>#REF!</v>
      </c>
      <c r="F98" s="59" t="e">
        <f>E98/D98*100</f>
        <v>#REF!</v>
      </c>
    </row>
    <row r="99" spans="1:6" s="11" customFormat="1" ht="15" customHeight="1" x14ac:dyDescent="0.25">
      <c r="A99" s="26" t="s">
        <v>11</v>
      </c>
      <c r="B99" s="15" t="s">
        <v>136</v>
      </c>
      <c r="C99" s="59">
        <f>SUM('2. sz. mell '!D104)</f>
        <v>0</v>
      </c>
      <c r="D99" s="59">
        <f>SUM('2. sz. mell '!E104)</f>
        <v>0</v>
      </c>
      <c r="E99" s="59">
        <f>SUM('2. sz. mell '!F104)</f>
        <v>0</v>
      </c>
      <c r="F99" s="59"/>
    </row>
    <row r="100" spans="1:6" s="11" customFormat="1" ht="15" customHeight="1" x14ac:dyDescent="0.25">
      <c r="A100" s="26" t="s">
        <v>13</v>
      </c>
      <c r="B100" s="15" t="s">
        <v>137</v>
      </c>
      <c r="C100" s="59">
        <f>SUM('2. sz. mell '!D105)</f>
        <v>0</v>
      </c>
      <c r="D100" s="59">
        <f>SUM('2. sz. mell '!E105)</f>
        <v>0</v>
      </c>
      <c r="E100" s="59">
        <f>SUM('2. sz. mell '!F105)</f>
        <v>0</v>
      </c>
      <c r="F100" s="59"/>
    </row>
    <row r="101" spans="1:6" s="11" customFormat="1" ht="29.25" customHeight="1" x14ac:dyDescent="0.25">
      <c r="A101" s="26" t="s">
        <v>15</v>
      </c>
      <c r="B101" s="15" t="s">
        <v>138</v>
      </c>
      <c r="C101" s="59">
        <f>SUM('2. sz. mell '!D106)</f>
        <v>0</v>
      </c>
      <c r="D101" s="59">
        <f>SUM('2. sz. mell '!E106)</f>
        <v>0</v>
      </c>
      <c r="E101" s="59">
        <f>SUM('2. sz. mell '!F106)</f>
        <v>0</v>
      </c>
      <c r="F101" s="59"/>
    </row>
    <row r="102" spans="1:6" s="11" customFormat="1" ht="42" customHeight="1" x14ac:dyDescent="0.25">
      <c r="A102" s="26" t="s">
        <v>17</v>
      </c>
      <c r="B102" s="15" t="s">
        <v>139</v>
      </c>
      <c r="C102" s="59">
        <f>SUM('2. sz. mell '!D107)</f>
        <v>0</v>
      </c>
      <c r="D102" s="59">
        <f>SUM('2. sz. mell '!E107)</f>
        <v>0</v>
      </c>
      <c r="E102" s="59">
        <f>SUM('2. sz. mell '!F107)</f>
        <v>0</v>
      </c>
      <c r="F102" s="59"/>
    </row>
    <row r="103" spans="1:6" s="11" customFormat="1" ht="15" customHeight="1" x14ac:dyDescent="0.25">
      <c r="A103" s="26" t="s">
        <v>19</v>
      </c>
      <c r="B103" s="15" t="s">
        <v>140</v>
      </c>
      <c r="C103" s="59">
        <f>SUM('2. sz. mell '!D108)</f>
        <v>105932</v>
      </c>
      <c r="D103" s="59">
        <f>SUM('2. sz. mell '!E108)</f>
        <v>0</v>
      </c>
      <c r="E103" s="59">
        <f>SUM('2. sz. mell '!F108)</f>
        <v>0</v>
      </c>
      <c r="F103" s="59" t="e">
        <f>E103/D103*100</f>
        <v>#DIV/0!</v>
      </c>
    </row>
    <row r="104" spans="1:6" s="11" customFormat="1" ht="15" customHeight="1" x14ac:dyDescent="0.25">
      <c r="A104" s="26" t="s">
        <v>141</v>
      </c>
      <c r="B104" s="63" t="s">
        <v>142</v>
      </c>
      <c r="C104" s="60"/>
      <c r="D104" s="60"/>
      <c r="E104" s="60"/>
      <c r="F104" s="60"/>
    </row>
    <row r="105" spans="1:6" s="11" customFormat="1" ht="30" customHeight="1" x14ac:dyDescent="0.25">
      <c r="A105" s="26" t="s">
        <v>143</v>
      </c>
      <c r="B105" s="68" t="s">
        <v>144</v>
      </c>
      <c r="C105" s="60"/>
      <c r="D105" s="60"/>
      <c r="E105" s="60"/>
      <c r="F105" s="60"/>
    </row>
    <row r="106" spans="1:6" s="11" customFormat="1" ht="15" customHeight="1" x14ac:dyDescent="0.25">
      <c r="A106" s="21" t="s">
        <v>145</v>
      </c>
      <c r="B106" s="63" t="s">
        <v>146</v>
      </c>
      <c r="C106" s="69"/>
      <c r="D106" s="69"/>
      <c r="E106" s="69"/>
      <c r="F106" s="69"/>
    </row>
    <row r="107" spans="1:6" s="11" customFormat="1" ht="15" customHeight="1" x14ac:dyDescent="0.25">
      <c r="A107" s="29" t="s">
        <v>147</v>
      </c>
      <c r="B107" s="63" t="s">
        <v>148</v>
      </c>
      <c r="C107" s="69"/>
      <c r="D107" s="69"/>
      <c r="E107" s="69"/>
      <c r="F107" s="69"/>
    </row>
    <row r="108" spans="1:6" s="11" customFormat="1" ht="30.75" customHeight="1" x14ac:dyDescent="0.25">
      <c r="A108" s="3" t="s">
        <v>20</v>
      </c>
      <c r="B108" s="67" t="s">
        <v>149</v>
      </c>
      <c r="C108" s="70"/>
      <c r="D108" s="70">
        <f>SUM('2. sz. mell '!E113)</f>
        <v>0</v>
      </c>
      <c r="E108" s="70"/>
      <c r="F108" s="70" t="e">
        <f t="shared" ref="F108:F114" si="2">E108/D108*100</f>
        <v>#DIV/0!</v>
      </c>
    </row>
    <row r="109" spans="1:6" s="11" customFormat="1" ht="15" customHeight="1" x14ac:dyDescent="0.25">
      <c r="A109" s="3" t="s">
        <v>150</v>
      </c>
      <c r="B109" s="67" t="s">
        <v>151</v>
      </c>
      <c r="C109" s="58">
        <f>SUM(C110:C112)</f>
        <v>258605</v>
      </c>
      <c r="D109" s="58" t="e">
        <f>SUM(D110:D112)</f>
        <v>#REF!</v>
      </c>
      <c r="E109" s="58">
        <f>SUM(E110:E112)</f>
        <v>0</v>
      </c>
      <c r="F109" s="58" t="e">
        <f t="shared" si="2"/>
        <v>#REF!</v>
      </c>
    </row>
    <row r="110" spans="1:6" s="11" customFormat="1" ht="15" customHeight="1" x14ac:dyDescent="0.25">
      <c r="A110" s="26" t="s">
        <v>152</v>
      </c>
      <c r="B110" s="27" t="s">
        <v>153</v>
      </c>
      <c r="C110" s="59">
        <f>SUM('2. sz. mell '!D96)</f>
        <v>20000</v>
      </c>
      <c r="D110" s="59">
        <f>SUM('2. sz. mell '!E96)</f>
        <v>0</v>
      </c>
      <c r="E110" s="59">
        <f>SUM('2. sz. mell '!F96)</f>
        <v>0</v>
      </c>
      <c r="F110" s="59" t="e">
        <f t="shared" si="2"/>
        <v>#DIV/0!</v>
      </c>
    </row>
    <row r="111" spans="1:6" s="11" customFormat="1" ht="15" customHeight="1" x14ac:dyDescent="0.25">
      <c r="A111" s="26" t="s">
        <v>154</v>
      </c>
      <c r="B111" s="15" t="s">
        <v>155</v>
      </c>
      <c r="C111" s="59">
        <f>SUM('2. sz. mell '!D97)</f>
        <v>143605</v>
      </c>
      <c r="D111" s="59" t="e">
        <f>SUM('2. sz. mell '!E97)</f>
        <v>#REF!</v>
      </c>
      <c r="E111" s="59">
        <f>SUM('2. sz. mell '!F94)</f>
        <v>0</v>
      </c>
      <c r="F111" s="59" t="e">
        <f t="shared" si="2"/>
        <v>#REF!</v>
      </c>
    </row>
    <row r="112" spans="1:6" s="11" customFormat="1" ht="15" customHeight="1" x14ac:dyDescent="0.25">
      <c r="A112" s="26" t="s">
        <v>156</v>
      </c>
      <c r="B112" s="15" t="s">
        <v>157</v>
      </c>
      <c r="C112" s="59">
        <f>SUM('2. sz. mell '!D98)</f>
        <v>95000</v>
      </c>
      <c r="D112" s="59" t="e">
        <f>SUM('2. sz. mell '!E98)</f>
        <v>#REF!</v>
      </c>
      <c r="E112" s="59">
        <f>SUM('2. sz. mell '!F98)</f>
        <v>0</v>
      </c>
      <c r="F112" s="59" t="e">
        <f t="shared" si="2"/>
        <v>#REF!</v>
      </c>
    </row>
    <row r="113" spans="1:6" s="11" customFormat="1" ht="32.25" customHeight="1" x14ac:dyDescent="0.25">
      <c r="A113" s="3" t="s">
        <v>39</v>
      </c>
      <c r="B113" s="40" t="s">
        <v>158</v>
      </c>
      <c r="C113" s="58">
        <f>+C79+C96+C108+C109</f>
        <v>3209191</v>
      </c>
      <c r="D113" s="58" t="e">
        <f>+D79+D96+D108+D109</f>
        <v>#REF!</v>
      </c>
      <c r="E113" s="58" t="e">
        <f>+E79+E96+E108+E109</f>
        <v>#REF!</v>
      </c>
      <c r="F113" s="58" t="e">
        <f t="shared" si="2"/>
        <v>#REF!</v>
      </c>
    </row>
    <row r="114" spans="1:6" s="11" customFormat="1" ht="28.5" x14ac:dyDescent="0.25">
      <c r="A114" s="3" t="s">
        <v>49</v>
      </c>
      <c r="B114" s="67" t="s">
        <v>159</v>
      </c>
      <c r="C114" s="58">
        <f>SUM(A115,C124)</f>
        <v>64000</v>
      </c>
      <c r="D114" s="58" t="e">
        <f>SUM(B115,D124)</f>
        <v>#REF!</v>
      </c>
      <c r="E114" s="58" t="e">
        <f>SUM(E115,E124)</f>
        <v>#REF!</v>
      </c>
      <c r="F114" s="58" t="e">
        <f t="shared" si="2"/>
        <v>#REF!</v>
      </c>
    </row>
    <row r="115" spans="1:6" s="11" customFormat="1" ht="28.5" customHeight="1" x14ac:dyDescent="0.25">
      <c r="A115" s="26" t="s">
        <v>50</v>
      </c>
      <c r="B115" s="30" t="s">
        <v>160</v>
      </c>
      <c r="C115" s="930">
        <f>SUM(C117:C123)</f>
        <v>0</v>
      </c>
      <c r="D115" s="930">
        <f>SUM(D117:D123)</f>
        <v>0</v>
      </c>
      <c r="E115" s="930">
        <f>SUM(E117:E123)</f>
        <v>0</v>
      </c>
      <c r="F115" s="71"/>
    </row>
    <row r="116" spans="1:6" s="11" customFormat="1" ht="15" customHeight="1" x14ac:dyDescent="0.25">
      <c r="A116" s="26" t="s">
        <v>51</v>
      </c>
      <c r="B116" s="45" t="s">
        <v>161</v>
      </c>
      <c r="C116" s="60"/>
      <c r="D116" s="60"/>
      <c r="E116" s="60"/>
      <c r="F116" s="60"/>
    </row>
    <row r="117" spans="1:6" s="11" customFormat="1" ht="15" customHeight="1" x14ac:dyDescent="0.25">
      <c r="A117" s="26" t="s">
        <v>53</v>
      </c>
      <c r="B117" s="45" t="s">
        <v>162</v>
      </c>
      <c r="C117" s="60"/>
      <c r="D117" s="60"/>
      <c r="E117" s="60">
        <f>SUM('2. sz. mell '!F117)</f>
        <v>0</v>
      </c>
      <c r="F117" s="60"/>
    </row>
    <row r="118" spans="1:6" s="11" customFormat="1" ht="15" customHeight="1" x14ac:dyDescent="0.25">
      <c r="A118" s="26" t="s">
        <v>55</v>
      </c>
      <c r="B118" s="45" t="s">
        <v>163</v>
      </c>
      <c r="C118" s="60"/>
      <c r="D118" s="60"/>
      <c r="E118" s="60"/>
      <c r="F118" s="60"/>
    </row>
    <row r="119" spans="1:6" s="11" customFormat="1" ht="15" customHeight="1" x14ac:dyDescent="0.25">
      <c r="A119" s="26" t="s">
        <v>57</v>
      </c>
      <c r="B119" s="45" t="s">
        <v>164</v>
      </c>
      <c r="C119" s="60"/>
      <c r="D119" s="60"/>
      <c r="E119" s="60"/>
      <c r="F119" s="60"/>
    </row>
    <row r="120" spans="1:6" s="11" customFormat="1" ht="15" customHeight="1" x14ac:dyDescent="0.25">
      <c r="A120" s="26" t="s">
        <v>59</v>
      </c>
      <c r="B120" s="45" t="s">
        <v>165</v>
      </c>
      <c r="C120" s="60"/>
      <c r="D120" s="60"/>
      <c r="E120" s="60"/>
      <c r="F120" s="60"/>
    </row>
    <row r="121" spans="1:6" s="11" customFormat="1" ht="30" customHeight="1" x14ac:dyDescent="0.25">
      <c r="A121" s="26" t="s">
        <v>61</v>
      </c>
      <c r="B121" s="45" t="s">
        <v>166</v>
      </c>
      <c r="C121" s="60"/>
      <c r="D121" s="60"/>
      <c r="E121" s="60"/>
      <c r="F121" s="60"/>
    </row>
    <row r="122" spans="1:6" s="11" customFormat="1" ht="15" customHeight="1" x14ac:dyDescent="0.25">
      <c r="A122" s="26" t="s">
        <v>167</v>
      </c>
      <c r="B122" s="45" t="s">
        <v>168</v>
      </c>
      <c r="C122" s="60"/>
      <c r="D122" s="60"/>
      <c r="E122" s="60"/>
      <c r="F122" s="60"/>
    </row>
    <row r="123" spans="1:6" s="11" customFormat="1" ht="15" customHeight="1" x14ac:dyDescent="0.25">
      <c r="A123" s="26" t="s">
        <v>169</v>
      </c>
      <c r="B123" s="45" t="s">
        <v>170</v>
      </c>
      <c r="C123" s="60"/>
      <c r="D123" s="60"/>
      <c r="E123" s="60"/>
      <c r="F123" s="60"/>
    </row>
    <row r="124" spans="1:6" s="11" customFormat="1" ht="29.25" customHeight="1" x14ac:dyDescent="0.25">
      <c r="A124" s="26" t="s">
        <v>63</v>
      </c>
      <c r="B124" s="30" t="s">
        <v>171</v>
      </c>
      <c r="C124" s="72">
        <f>SUM(C125:C132)</f>
        <v>64000</v>
      </c>
      <c r="D124" s="72" t="e">
        <f>SUM(D125:D132)</f>
        <v>#REF!</v>
      </c>
      <c r="E124" s="72" t="e">
        <f>SUM(E125:E132)</f>
        <v>#REF!</v>
      </c>
      <c r="F124" s="72" t="e">
        <f>E124/D124*100</f>
        <v>#REF!</v>
      </c>
    </row>
    <row r="125" spans="1:6" s="11" customFormat="1" ht="15" customHeight="1" x14ac:dyDescent="0.25">
      <c r="A125" s="26" t="s">
        <v>64</v>
      </c>
      <c r="B125" s="45" t="s">
        <v>161</v>
      </c>
      <c r="C125" s="60"/>
      <c r="D125" s="60"/>
      <c r="E125" s="60"/>
      <c r="F125" s="60"/>
    </row>
    <row r="126" spans="1:6" s="11" customFormat="1" ht="15" customHeight="1" x14ac:dyDescent="0.25">
      <c r="A126" s="26" t="s">
        <v>65</v>
      </c>
      <c r="B126" s="45" t="s">
        <v>172</v>
      </c>
      <c r="C126" s="60">
        <f>SUM('2. sz. mell '!D118)</f>
        <v>64000</v>
      </c>
      <c r="D126" s="60" t="e">
        <f>SUM('2. sz. mell '!E118)</f>
        <v>#REF!</v>
      </c>
      <c r="E126" s="60" t="e">
        <f>SUM('2. sz. mell '!F118)</f>
        <v>#REF!</v>
      </c>
      <c r="F126" s="60" t="e">
        <f>E126/D126*100</f>
        <v>#REF!</v>
      </c>
    </row>
    <row r="127" spans="1:6" s="11" customFormat="1" ht="15" customHeight="1" x14ac:dyDescent="0.25">
      <c r="A127" s="26" t="s">
        <v>66</v>
      </c>
      <c r="B127" s="45" t="s">
        <v>163</v>
      </c>
      <c r="C127" s="60"/>
      <c r="D127" s="60"/>
      <c r="E127" s="60"/>
      <c r="F127" s="60"/>
    </row>
    <row r="128" spans="1:6" s="11" customFormat="1" ht="15" customHeight="1" x14ac:dyDescent="0.25">
      <c r="A128" s="26" t="s">
        <v>67</v>
      </c>
      <c r="B128" s="45" t="s">
        <v>164</v>
      </c>
      <c r="C128" s="65"/>
      <c r="D128" s="65"/>
      <c r="E128" s="65"/>
      <c r="F128" s="65"/>
    </row>
    <row r="129" spans="1:12" s="11" customFormat="1" ht="15" customHeight="1" x14ac:dyDescent="0.25">
      <c r="A129" s="26" t="s">
        <v>68</v>
      </c>
      <c r="B129" s="45" t="s">
        <v>165</v>
      </c>
      <c r="C129" s="60"/>
      <c r="D129" s="60"/>
      <c r="E129" s="60"/>
      <c r="F129" s="60"/>
    </row>
    <row r="130" spans="1:12" s="11" customFormat="1" ht="30" customHeight="1" x14ac:dyDescent="0.25">
      <c r="A130" s="26" t="s">
        <v>173</v>
      </c>
      <c r="B130" s="45" t="s">
        <v>174</v>
      </c>
      <c r="C130" s="69"/>
      <c r="D130" s="69"/>
      <c r="E130" s="69"/>
      <c r="F130" s="69"/>
    </row>
    <row r="131" spans="1:12" s="11" customFormat="1" ht="15" customHeight="1" x14ac:dyDescent="0.25">
      <c r="A131" s="26" t="s">
        <v>175</v>
      </c>
      <c r="B131" s="45" t="s">
        <v>168</v>
      </c>
      <c r="C131" s="69"/>
      <c r="D131" s="69"/>
      <c r="E131" s="69"/>
      <c r="F131" s="69"/>
    </row>
    <row r="132" spans="1:12" s="11" customFormat="1" ht="15" customHeight="1" x14ac:dyDescent="0.25">
      <c r="A132" s="26" t="s">
        <v>176</v>
      </c>
      <c r="B132" s="45" t="s">
        <v>177</v>
      </c>
      <c r="C132" s="73"/>
      <c r="D132" s="73"/>
      <c r="E132" s="73"/>
      <c r="F132" s="73"/>
    </row>
    <row r="133" spans="1:12" s="11" customFormat="1" ht="15" customHeight="1" thickBot="1" x14ac:dyDescent="0.3">
      <c r="A133" s="3"/>
      <c r="B133" s="67" t="s">
        <v>178</v>
      </c>
      <c r="C133" s="57"/>
      <c r="D133" s="57">
        <f>'2. sz. mell '!E120</f>
        <v>0</v>
      </c>
      <c r="E133" s="57" t="e">
        <f>'2. sz. mell '!F120</f>
        <v>#REF!</v>
      </c>
      <c r="F133" s="57"/>
    </row>
    <row r="134" spans="1:12" s="11" customFormat="1" ht="15" customHeight="1" thickBot="1" x14ac:dyDescent="0.3">
      <c r="A134" s="3"/>
      <c r="B134" s="67" t="s">
        <v>1428</v>
      </c>
      <c r="C134" s="943"/>
      <c r="D134" s="943">
        <f>SUM('2. sz. mell '!E119)</f>
        <v>0</v>
      </c>
      <c r="E134" s="943" t="e">
        <f>SUM('2. sz. mell '!F119)</f>
        <v>#REF!</v>
      </c>
      <c r="F134" s="943"/>
    </row>
    <row r="135" spans="1:12" ht="18.75" customHeight="1" thickBot="1" x14ac:dyDescent="0.3">
      <c r="A135" s="50" t="s">
        <v>179</v>
      </c>
      <c r="B135" s="51" t="s">
        <v>180</v>
      </c>
      <c r="C135" s="52">
        <f>SUM(C113,C114)</f>
        <v>3273191</v>
      </c>
      <c r="D135" s="52" t="e">
        <f>SUM(D113,D114,D133)-D134</f>
        <v>#REF!</v>
      </c>
      <c r="E135" s="52" t="e">
        <f>SUM(E113,E114,E133)-E134</f>
        <v>#REF!</v>
      </c>
      <c r="F135" s="52" t="e">
        <f>E135/D135*100</f>
        <v>#REF!</v>
      </c>
      <c r="I135" s="74"/>
      <c r="J135" s="929" t="e">
        <f>SUM('1.1.sz.mell  '!D47-'1.sz.mell.'!D135)</f>
        <v>#REF!</v>
      </c>
      <c r="K135" s="929" t="e">
        <f>SUM('1.1.sz.mell  '!E47-'1.sz.mell.'!E135)</f>
        <v>#REF!</v>
      </c>
      <c r="L135" s="75"/>
    </row>
    <row r="136" spans="1:12" s="54" customFormat="1" ht="12.95" customHeight="1" x14ac:dyDescent="0.2">
      <c r="A136" s="1529"/>
      <c r="B136" s="1529"/>
      <c r="C136" s="1529"/>
      <c r="D136" s="76"/>
      <c r="E136" s="76"/>
      <c r="F136" s="76"/>
    </row>
    <row r="137" spans="1:12" x14ac:dyDescent="0.25">
      <c r="A137" s="1530" t="s">
        <v>181</v>
      </c>
      <c r="B137" s="1530"/>
      <c r="C137" s="1530"/>
      <c r="D137" s="1530"/>
      <c r="E137" s="1530"/>
      <c r="F137" s="1530"/>
    </row>
    <row r="138" spans="1:12" ht="9" customHeight="1" thickBot="1" x14ac:dyDescent="0.3">
      <c r="A138" s="1526"/>
      <c r="B138" s="1526"/>
    </row>
    <row r="139" spans="1:12" ht="42.75" x14ac:dyDescent="0.25">
      <c r="A139" s="3">
        <v>1</v>
      </c>
      <c r="B139" s="67" t="s">
        <v>182</v>
      </c>
      <c r="C139" s="77">
        <f>+C56-C113</f>
        <v>64000</v>
      </c>
      <c r="D139" s="77" t="e">
        <f>+D56-D113</f>
        <v>#REF!</v>
      </c>
      <c r="E139" s="77" t="e">
        <f>+E56-E113</f>
        <v>#REF!</v>
      </c>
      <c r="F139" s="77" t="e">
        <f>E139/D139*100</f>
        <v>#REF!</v>
      </c>
      <c r="G139" s="78"/>
    </row>
    <row r="140" spans="1:12" x14ac:dyDescent="0.25">
      <c r="C140" s="79"/>
      <c r="D140" s="79"/>
      <c r="E140" s="79"/>
      <c r="F140" s="79"/>
    </row>
    <row r="141" spans="1:12" ht="18" customHeight="1" x14ac:dyDescent="0.25">
      <c r="A141" s="1531" t="s">
        <v>183</v>
      </c>
      <c r="B141" s="1531"/>
      <c r="C141" s="1531"/>
      <c r="D141" s="1531"/>
      <c r="E141" s="1531"/>
      <c r="F141" s="1531"/>
    </row>
    <row r="142" spans="1:12" ht="7.5" customHeight="1" thickBot="1" x14ac:dyDescent="0.3">
      <c r="A142" s="1526"/>
      <c r="B142" s="1526"/>
    </row>
    <row r="143" spans="1:12" ht="29.25" x14ac:dyDescent="0.25">
      <c r="A143" s="3" t="s">
        <v>5</v>
      </c>
      <c r="B143" s="67" t="s">
        <v>184</v>
      </c>
      <c r="C143" s="17">
        <f>C144-C147</f>
        <v>-64000</v>
      </c>
      <c r="D143" s="17" t="e">
        <f>D144-D147</f>
        <v>#REF!</v>
      </c>
      <c r="E143" s="17" t="e">
        <f>E144-E147</f>
        <v>#REF!</v>
      </c>
      <c r="F143" s="17" t="e">
        <f>E143/D143*100</f>
        <v>#REF!</v>
      </c>
    </row>
    <row r="144" spans="1:12" ht="30" customHeight="1" x14ac:dyDescent="0.25">
      <c r="A144" s="18" t="s">
        <v>103</v>
      </c>
      <c r="B144" s="19" t="s">
        <v>185</v>
      </c>
      <c r="C144" s="80">
        <f t="shared" ref="C144:E145" si="3">+C60</f>
        <v>0</v>
      </c>
      <c r="D144" s="80">
        <f t="shared" si="3"/>
        <v>0</v>
      </c>
      <c r="E144" s="80">
        <f t="shared" si="3"/>
        <v>0</v>
      </c>
      <c r="F144" s="80"/>
    </row>
    <row r="145" spans="1:10" ht="30" customHeight="1" x14ac:dyDescent="0.25">
      <c r="A145" s="21" t="s">
        <v>186</v>
      </c>
      <c r="B145" s="22" t="s">
        <v>187</v>
      </c>
      <c r="C145" s="81">
        <f t="shared" si="3"/>
        <v>0</v>
      </c>
      <c r="D145" s="81">
        <f t="shared" si="3"/>
        <v>0</v>
      </c>
      <c r="E145" s="81">
        <f t="shared" si="3"/>
        <v>0</v>
      </c>
      <c r="F145" s="81"/>
    </row>
    <row r="146" spans="1:10" ht="30" customHeight="1" x14ac:dyDescent="0.25">
      <c r="A146" s="21" t="s">
        <v>188</v>
      </c>
      <c r="B146" s="82" t="s">
        <v>189</v>
      </c>
      <c r="C146" s="83">
        <f>+C68</f>
        <v>0</v>
      </c>
      <c r="D146" s="83">
        <f>+D68</f>
        <v>0</v>
      </c>
      <c r="E146" s="83">
        <f>+E68</f>
        <v>0</v>
      </c>
      <c r="F146" s="83"/>
    </row>
    <row r="147" spans="1:10" ht="30" customHeight="1" x14ac:dyDescent="0.25">
      <c r="A147" s="29" t="s">
        <v>105</v>
      </c>
      <c r="B147" s="84" t="s">
        <v>190</v>
      </c>
      <c r="C147" s="85">
        <f>+C114</f>
        <v>64000</v>
      </c>
      <c r="D147" s="85" t="e">
        <f>+D114</f>
        <v>#REF!</v>
      </c>
      <c r="E147" s="85" t="e">
        <f>+E114</f>
        <v>#REF!</v>
      </c>
      <c r="F147" s="85" t="e">
        <f>E147/D147*100</f>
        <v>#REF!</v>
      </c>
      <c r="J147" s="931"/>
    </row>
    <row r="148" spans="1:10" ht="30" customHeight="1" x14ac:dyDescent="0.25">
      <c r="A148" s="14" t="s">
        <v>191</v>
      </c>
      <c r="B148" s="15" t="s">
        <v>192</v>
      </c>
      <c r="C148" s="85">
        <f>C115</f>
        <v>0</v>
      </c>
      <c r="D148" s="85">
        <f>D115</f>
        <v>0</v>
      </c>
      <c r="E148" s="85">
        <f>E115</f>
        <v>0</v>
      </c>
      <c r="F148" s="85"/>
    </row>
    <row r="149" spans="1:10" ht="30" customHeight="1" x14ac:dyDescent="0.25">
      <c r="A149" s="33" t="s">
        <v>193</v>
      </c>
      <c r="B149" s="86" t="s">
        <v>194</v>
      </c>
      <c r="C149" s="35">
        <f>+C124</f>
        <v>64000</v>
      </c>
      <c r="D149" s="35" t="e">
        <f>+D124</f>
        <v>#REF!</v>
      </c>
      <c r="E149" s="35" t="e">
        <f>+E124</f>
        <v>#REF!</v>
      </c>
      <c r="F149" s="35" t="e">
        <f>E149/D149*100</f>
        <v>#REF!</v>
      </c>
    </row>
  </sheetData>
  <sheetProtection selectLockedCells="1" selectUnlockedCells="1"/>
  <mergeCells count="7">
    <mergeCell ref="A142:B142"/>
    <mergeCell ref="A3:C3"/>
    <mergeCell ref="A78:C78"/>
    <mergeCell ref="A136:C136"/>
    <mergeCell ref="A138:B138"/>
    <mergeCell ref="A137:F137"/>
    <mergeCell ref="A141:F141"/>
  </mergeCells>
  <printOptions horizontalCentered="1"/>
  <pageMargins left="0.35433070866141736" right="0.31496062992125984" top="0.98425196850393704" bottom="0.43307086614173229" header="0.35433070866141736" footer="0.15748031496062992"/>
  <pageSetup paperSize="9" firstPageNumber="37" orientation="portrait" useFirstPageNumber="1" r:id="rId1"/>
  <headerFooter alignWithMargins="0">
    <oddHeader>&amp;C&amp;"Times New Roman CE,Félkövér"&amp;12VECSÉS VÁROS ÖNKORMÁNYZAT
2013. ÉVI KÖLTSÉGVETÉSÉNEK MÉRLEGE&amp;R&amp;"Times New Roman CE,Félkövér dőlt"&amp;12 &amp;"Times New Roman CE,Normál"1. sz. melléklet
Ezer Ft</oddHeader>
    <oddFooter>&amp;C- &amp;P -</oddFooter>
  </headerFooter>
  <rowBreaks count="4" manualBreakCount="4">
    <brk id="32" max="5" man="1"/>
    <brk id="59" max="5" man="1"/>
    <brk id="95" max="5" man="1"/>
    <brk id="123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topLeftCell="A4" zoomScaleNormal="130" workbookViewId="0">
      <selection activeCell="C18" sqref="C18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3.33203125" style="162" customWidth="1"/>
    <col min="4" max="4" width="18.83203125" style="162" customWidth="1"/>
    <col min="5" max="6" width="15" style="162" hidden="1" customWidth="1"/>
    <col min="7" max="7" width="10.1640625" style="162" hidden="1" customWidth="1"/>
    <col min="8" max="16384" width="9.33203125" style="162"/>
  </cols>
  <sheetData>
    <row r="1" spans="1:7" s="449" customFormat="1" ht="21" customHeight="1" x14ac:dyDescent="0.2">
      <c r="A1" s="446"/>
      <c r="B1" s="447"/>
      <c r="C1" s="448"/>
      <c r="D1" s="1609" t="s">
        <v>838</v>
      </c>
      <c r="E1" s="1609"/>
      <c r="F1" s="1609"/>
      <c r="G1" s="1609"/>
    </row>
    <row r="2" spans="1:7" s="165" customFormat="1" ht="30" customHeight="1" x14ac:dyDescent="0.2">
      <c r="A2" s="1573" t="s">
        <v>796</v>
      </c>
      <c r="B2" s="1573"/>
      <c r="C2" s="163" t="s">
        <v>797</v>
      </c>
      <c r="D2" s="469"/>
      <c r="E2" s="469"/>
      <c r="F2" s="469"/>
      <c r="G2" s="469"/>
    </row>
    <row r="3" spans="1:7" s="165" customFormat="1" ht="30" customHeight="1" x14ac:dyDescent="0.2">
      <c r="A3" s="1571" t="s">
        <v>264</v>
      </c>
      <c r="B3" s="1571"/>
      <c r="C3" s="166" t="s">
        <v>1617</v>
      </c>
      <c r="D3" s="450"/>
      <c r="E3" s="450"/>
      <c r="F3" s="450"/>
      <c r="G3" s="450"/>
    </row>
    <row r="4" spans="1:7" s="169" customFormat="1" ht="15.95" customHeight="1" x14ac:dyDescent="0.25">
      <c r="A4" s="167"/>
      <c r="B4" s="167"/>
      <c r="C4" s="167"/>
      <c r="D4" s="1590"/>
      <c r="E4" s="1590"/>
      <c r="F4" s="1590"/>
      <c r="G4" s="168" t="s">
        <v>196</v>
      </c>
    </row>
    <row r="5" spans="1:7" ht="35.2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175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175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/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/>
      <c r="E9" s="257"/>
      <c r="F9" s="257"/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/>
      <c r="E10" s="255"/>
      <c r="F10" s="255"/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/>
      <c r="E11" s="255"/>
      <c r="F11" s="255"/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/>
      <c r="E12" s="255"/>
      <c r="F12" s="255"/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/>
      <c r="E13" s="255"/>
      <c r="F13" s="255"/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/>
      <c r="E14" s="256"/>
      <c r="F14" s="256"/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/>
      <c r="E15" s="255"/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/>
      <c r="E16" s="258"/>
      <c r="F16" s="258"/>
      <c r="G16" s="258"/>
    </row>
    <row r="17" spans="1:7" s="183" customFormat="1" ht="15" customHeight="1" x14ac:dyDescent="0.2">
      <c r="A17" s="180" t="s">
        <v>6</v>
      </c>
      <c r="B17" s="181"/>
      <c r="C17" s="222" t="s">
        <v>1963</v>
      </c>
      <c r="D17" s="254">
        <f>SUM(D18:D21)</f>
        <v>0</v>
      </c>
      <c r="E17" s="254">
        <f>SUM(E18:E21)</f>
        <v>0</v>
      </c>
      <c r="F17" s="254">
        <f>SUM(F18:F21)</f>
        <v>0</v>
      </c>
      <c r="G17" s="254" t="e">
        <f>F17/E17*100</f>
        <v>#DIV/0!</v>
      </c>
    </row>
    <row r="18" spans="1:7" s="187" customFormat="1" ht="15" customHeight="1" x14ac:dyDescent="0.2">
      <c r="A18" s="184"/>
      <c r="B18" s="185" t="s">
        <v>7</v>
      </c>
      <c r="C18" s="27" t="s">
        <v>1964</v>
      </c>
      <c r="D18" s="255"/>
      <c r="E18" s="255"/>
      <c r="F18" s="255"/>
      <c r="G18" s="255" t="e">
        <f>F18/E18*100</f>
        <v>#DIV/0!</v>
      </c>
    </row>
    <row r="19" spans="1:7" s="187" customFormat="1" ht="15" customHeight="1" x14ac:dyDescent="0.2">
      <c r="A19" s="184"/>
      <c r="B19" s="185" t="s">
        <v>9</v>
      </c>
      <c r="C19" s="15" t="s">
        <v>1965</v>
      </c>
      <c r="D19" s="255"/>
      <c r="E19" s="255"/>
      <c r="F19" s="255"/>
      <c r="G19" s="255"/>
    </row>
    <row r="20" spans="1:7" s="187" customFormat="1" ht="15" customHeight="1" x14ac:dyDescent="0.2">
      <c r="A20" s="184"/>
      <c r="B20" s="185" t="s">
        <v>11</v>
      </c>
      <c r="C20" s="15" t="s">
        <v>802</v>
      </c>
      <c r="D20" s="255"/>
      <c r="E20" s="255"/>
      <c r="F20" s="255"/>
      <c r="G20" s="255"/>
    </row>
    <row r="21" spans="1:7" s="187" customFormat="1" ht="15" customHeight="1" x14ac:dyDescent="0.2">
      <c r="A21" s="184"/>
      <c r="B21" s="185" t="s">
        <v>13</v>
      </c>
      <c r="C21" s="15" t="s">
        <v>803</v>
      </c>
      <c r="D21" s="255"/>
      <c r="E21" s="255"/>
      <c r="F21" s="255"/>
      <c r="G21" s="255"/>
    </row>
    <row r="22" spans="1:7" s="187" customFormat="1" ht="15" customHeight="1" x14ac:dyDescent="0.2">
      <c r="A22" s="180" t="s">
        <v>20</v>
      </c>
      <c r="B22" s="12"/>
      <c r="C22" s="12" t="s">
        <v>804</v>
      </c>
      <c r="D22" s="220"/>
      <c r="E22" s="220"/>
      <c r="F22" s="220"/>
      <c r="G22" s="220"/>
    </row>
    <row r="23" spans="1:7" s="187" customFormat="1" ht="15" customHeight="1" x14ac:dyDescent="0.2">
      <c r="A23" s="180" t="s">
        <v>150</v>
      </c>
      <c r="B23" s="12"/>
      <c r="C23" s="12" t="s">
        <v>805</v>
      </c>
      <c r="D23" s="255">
        <v>0</v>
      </c>
      <c r="E23" s="255"/>
      <c r="F23" s="255"/>
      <c r="G23" s="255" t="e">
        <f>F23/E23*100</f>
        <v>#DIV/0!</v>
      </c>
    </row>
    <row r="24" spans="1:7" s="183" customFormat="1" ht="15" customHeight="1" x14ac:dyDescent="0.2">
      <c r="A24" s="180" t="s">
        <v>39</v>
      </c>
      <c r="B24" s="181"/>
      <c r="C24" s="12" t="s">
        <v>806</v>
      </c>
      <c r="D24" s="255"/>
      <c r="E24" s="255"/>
      <c r="F24" s="255"/>
      <c r="G24" s="255"/>
    </row>
    <row r="25" spans="1:7" s="183" customFormat="1" ht="25.5" customHeight="1" x14ac:dyDescent="0.2">
      <c r="A25" s="180" t="s">
        <v>49</v>
      </c>
      <c r="B25" s="209"/>
      <c r="C25" s="12" t="s">
        <v>807</v>
      </c>
      <c r="D25" s="266">
        <f>+D26+D27</f>
        <v>0</v>
      </c>
      <c r="E25" s="266">
        <f>+E26+E27</f>
        <v>0</v>
      </c>
      <c r="F25" s="266">
        <f>+F26+F27</f>
        <v>0</v>
      </c>
      <c r="G25" s="266"/>
    </row>
    <row r="26" spans="1:7" s="183" customFormat="1" ht="15" customHeight="1" x14ac:dyDescent="0.2">
      <c r="A26" s="192"/>
      <c r="B26" s="199" t="s">
        <v>50</v>
      </c>
      <c r="C26" s="19" t="s">
        <v>808</v>
      </c>
      <c r="D26" s="255"/>
      <c r="E26" s="255"/>
      <c r="F26" s="255"/>
      <c r="G26" s="255"/>
    </row>
    <row r="27" spans="1:7" s="183" customFormat="1" ht="15" customHeight="1" x14ac:dyDescent="0.2">
      <c r="A27" s="202"/>
      <c r="B27" s="203" t="s">
        <v>63</v>
      </c>
      <c r="C27" s="24" t="s">
        <v>809</v>
      </c>
      <c r="D27" s="255"/>
      <c r="E27" s="255"/>
      <c r="F27" s="255"/>
      <c r="G27" s="255"/>
    </row>
    <row r="28" spans="1:7" s="187" customFormat="1" ht="15" customHeight="1" x14ac:dyDescent="0.25">
      <c r="A28" s="212" t="s">
        <v>179</v>
      </c>
      <c r="B28" s="213"/>
      <c r="C28" s="12" t="s">
        <v>282</v>
      </c>
      <c r="D28" s="255">
        <v>54655</v>
      </c>
      <c r="E28" s="255"/>
      <c r="F28" s="255"/>
      <c r="G28" s="255" t="e">
        <f>F28/E28*100</f>
        <v>#DIV/0!</v>
      </c>
    </row>
    <row r="29" spans="1:7" s="187" customFormat="1" ht="15" customHeight="1" x14ac:dyDescent="0.25">
      <c r="A29" s="212"/>
      <c r="B29" s="213"/>
      <c r="C29" s="12" t="s">
        <v>810</v>
      </c>
      <c r="D29" s="220"/>
      <c r="E29" s="220"/>
      <c r="F29" s="220"/>
      <c r="G29" s="220"/>
    </row>
    <row r="30" spans="1:7" s="187" customFormat="1" ht="15" customHeight="1" x14ac:dyDescent="0.2">
      <c r="A30" s="268" t="s">
        <v>75</v>
      </c>
      <c r="B30" s="269"/>
      <c r="C30" s="480" t="s">
        <v>811</v>
      </c>
      <c r="D30" s="270">
        <f>SUM(D8,D17,D22,D23,D24,D25,D28)</f>
        <v>54655</v>
      </c>
      <c r="E30" s="270">
        <f>SUM(E8,E17,E22,E23,E24,E25,E28,E29)</f>
        <v>0</v>
      </c>
      <c r="F30" s="270">
        <f>SUM(F8,F17,F22,F23,F24,F25,F28,F29)</f>
        <v>0</v>
      </c>
      <c r="G30" s="270" t="e">
        <f>F30/E30*100</f>
        <v>#DIV/0!</v>
      </c>
    </row>
    <row r="31" spans="1:7" s="187" customFormat="1" ht="15" customHeight="1" x14ac:dyDescent="0.2">
      <c r="A31" s="271"/>
      <c r="B31" s="271"/>
      <c r="C31" s="272"/>
      <c r="D31" s="518"/>
      <c r="E31" s="518"/>
      <c r="F31" s="518"/>
      <c r="G31" s="518"/>
    </row>
    <row r="32" spans="1:7" ht="15" customHeight="1" x14ac:dyDescent="0.2">
      <c r="A32" s="519"/>
      <c r="B32" s="520"/>
      <c r="C32" s="520"/>
      <c r="D32" s="521"/>
      <c r="E32" s="521"/>
      <c r="F32" s="521"/>
      <c r="G32" s="521"/>
    </row>
    <row r="33" spans="1:7" s="175" customFormat="1" ht="15" customHeight="1" x14ac:dyDescent="0.2">
      <c r="A33" s="268"/>
      <c r="B33" s="269"/>
      <c r="C33" s="513" t="s">
        <v>199</v>
      </c>
      <c r="D33" s="270"/>
      <c r="E33" s="270"/>
      <c r="F33" s="270"/>
      <c r="G33" s="270"/>
    </row>
    <row r="34" spans="1:7" s="232" customFormat="1" ht="15" customHeight="1" x14ac:dyDescent="0.2">
      <c r="A34" s="180" t="s">
        <v>5</v>
      </c>
      <c r="B34" s="12"/>
      <c r="C34" s="67" t="s">
        <v>102</v>
      </c>
      <c r="D34" s="254">
        <f>SUM(D35:D39)</f>
        <v>54655</v>
      </c>
      <c r="E34" s="254">
        <f>SUM(E35:E39)</f>
        <v>0</v>
      </c>
      <c r="F34" s="254">
        <f>SUM(F35:F39)</f>
        <v>0</v>
      </c>
      <c r="G34" s="254" t="e">
        <f>F34/E34*100</f>
        <v>#DIV/0!</v>
      </c>
    </row>
    <row r="35" spans="1:7" ht="15" customHeight="1" x14ac:dyDescent="0.2">
      <c r="A35" s="204"/>
      <c r="B35" s="231" t="s">
        <v>103</v>
      </c>
      <c r="C35" s="27" t="s">
        <v>104</v>
      </c>
      <c r="D35" s="262">
        <v>42530</v>
      </c>
      <c r="E35" s="262"/>
      <c r="F35" s="262"/>
      <c r="G35" s="262" t="e">
        <f>F35/E35*100</f>
        <v>#DIV/0!</v>
      </c>
    </row>
    <row r="36" spans="1:7" ht="15" customHeight="1" x14ac:dyDescent="0.2">
      <c r="A36" s="184"/>
      <c r="B36" s="200" t="s">
        <v>105</v>
      </c>
      <c r="C36" s="15" t="s">
        <v>106</v>
      </c>
      <c r="D36" s="255">
        <v>11704</v>
      </c>
      <c r="E36" s="255"/>
      <c r="F36" s="255"/>
      <c r="G36" s="255" t="e">
        <f>F36/E36*100</f>
        <v>#DIV/0!</v>
      </c>
    </row>
    <row r="37" spans="1:7" ht="15" customHeight="1" x14ac:dyDescent="0.2">
      <c r="A37" s="184"/>
      <c r="B37" s="200" t="s">
        <v>107</v>
      </c>
      <c r="C37" s="15" t="s">
        <v>108</v>
      </c>
      <c r="D37" s="255">
        <v>421</v>
      </c>
      <c r="E37" s="255"/>
      <c r="F37" s="255"/>
      <c r="G37" s="255" t="e">
        <f>F37/E37*100</f>
        <v>#DIV/0!</v>
      </c>
    </row>
    <row r="38" spans="1:7" ht="15" customHeight="1" x14ac:dyDescent="0.2">
      <c r="A38" s="184"/>
      <c r="B38" s="200" t="s">
        <v>109</v>
      </c>
      <c r="C38" s="15" t="s">
        <v>110</v>
      </c>
      <c r="D38" s="255"/>
      <c r="E38" s="255"/>
      <c r="F38" s="255"/>
      <c r="G38" s="255"/>
    </row>
    <row r="39" spans="1:7" ht="15" customHeight="1" x14ac:dyDescent="0.2">
      <c r="A39" s="184"/>
      <c r="B39" s="200" t="s">
        <v>111</v>
      </c>
      <c r="C39" s="15" t="s">
        <v>112</v>
      </c>
      <c r="D39" s="255"/>
      <c r="E39" s="255"/>
      <c r="F39" s="255"/>
      <c r="G39" s="255"/>
    </row>
    <row r="40" spans="1:7" ht="15" customHeight="1" x14ac:dyDescent="0.2">
      <c r="A40" s="180" t="s">
        <v>6</v>
      </c>
      <c r="B40" s="12"/>
      <c r="C40" s="67" t="s">
        <v>823</v>
      </c>
      <c r="D40" s="254">
        <f>SUM(D41:D44)</f>
        <v>0</v>
      </c>
      <c r="E40" s="254">
        <f>SUM(E41:E44)</f>
        <v>0</v>
      </c>
      <c r="F40" s="254">
        <f>SUM(F41:F44)</f>
        <v>0</v>
      </c>
      <c r="G40" s="254"/>
    </row>
    <row r="41" spans="1:7" s="232" customFormat="1" ht="15" customHeight="1" x14ac:dyDescent="0.2">
      <c r="A41" s="204"/>
      <c r="B41" s="231" t="s">
        <v>7</v>
      </c>
      <c r="C41" s="27" t="s">
        <v>816</v>
      </c>
      <c r="D41" s="262"/>
      <c r="E41" s="262"/>
      <c r="F41" s="262"/>
      <c r="G41" s="262"/>
    </row>
    <row r="42" spans="1:7" ht="15" customHeight="1" x14ac:dyDescent="0.2">
      <c r="A42" s="184"/>
      <c r="B42" s="200" t="s">
        <v>9</v>
      </c>
      <c r="C42" s="15" t="s">
        <v>135</v>
      </c>
      <c r="D42" s="255"/>
      <c r="E42" s="255"/>
      <c r="F42" s="255"/>
      <c r="G42" s="255"/>
    </row>
    <row r="43" spans="1:7" ht="30" customHeight="1" x14ac:dyDescent="0.2">
      <c r="A43" s="184"/>
      <c r="B43" s="200" t="s">
        <v>15</v>
      </c>
      <c r="C43" s="15" t="s">
        <v>138</v>
      </c>
      <c r="D43" s="255"/>
      <c r="E43" s="255"/>
      <c r="F43" s="255"/>
      <c r="G43" s="255"/>
    </row>
    <row r="44" spans="1:7" ht="15" customHeight="1" x14ac:dyDescent="0.2">
      <c r="A44" s="184"/>
      <c r="B44" s="200" t="s">
        <v>19</v>
      </c>
      <c r="C44" s="15" t="s">
        <v>817</v>
      </c>
      <c r="D44" s="255"/>
      <c r="E44" s="255"/>
      <c r="F44" s="255"/>
      <c r="G44" s="255"/>
    </row>
    <row r="45" spans="1:7" ht="15" customHeight="1" x14ac:dyDescent="0.2">
      <c r="A45" s="180" t="s">
        <v>20</v>
      </c>
      <c r="B45" s="12"/>
      <c r="C45" s="67" t="s">
        <v>818</v>
      </c>
      <c r="D45" s="220"/>
      <c r="E45" s="220"/>
      <c r="F45" s="220"/>
      <c r="G45" s="220"/>
    </row>
    <row r="46" spans="1:7" s="187" customFormat="1" ht="15" customHeight="1" x14ac:dyDescent="0.2">
      <c r="A46" s="180"/>
      <c r="B46" s="12"/>
      <c r="C46" s="67" t="s">
        <v>819</v>
      </c>
      <c r="D46" s="220"/>
      <c r="E46" s="220"/>
      <c r="F46" s="220"/>
      <c r="G46" s="220"/>
    </row>
    <row r="47" spans="1:7" ht="15" customHeight="1" x14ac:dyDescent="0.2">
      <c r="A47" s="268" t="s">
        <v>150</v>
      </c>
      <c r="B47" s="269"/>
      <c r="C47" s="480" t="s">
        <v>820</v>
      </c>
      <c r="D47" s="270">
        <f>+D34+D40+D45</f>
        <v>54655</v>
      </c>
      <c r="E47" s="270">
        <f>+E34+E40+E45+E46</f>
        <v>0</v>
      </c>
      <c r="F47" s="270">
        <f>+F34+F40+F45+F46</f>
        <v>0</v>
      </c>
      <c r="G47" s="270" t="e">
        <f>F47/E47*100</f>
        <v>#DIV/0!</v>
      </c>
    </row>
    <row r="48" spans="1:7" ht="15" customHeight="1" x14ac:dyDescent="0.2">
      <c r="A48" s="283"/>
      <c r="B48" s="284"/>
      <c r="C48" s="284"/>
      <c r="D48" s="284"/>
      <c r="E48" s="284"/>
      <c r="F48" s="284"/>
      <c r="G48" s="284"/>
    </row>
    <row r="49" spans="1:7" ht="15" customHeight="1" x14ac:dyDescent="0.2">
      <c r="A49" s="244" t="s">
        <v>297</v>
      </c>
      <c r="B49" s="522"/>
      <c r="C49" s="523"/>
      <c r="D49" s="524">
        <v>29.25</v>
      </c>
      <c r="E49" s="524"/>
      <c r="F49" s="524"/>
      <c r="G49" s="524"/>
    </row>
    <row r="50" spans="1:7" ht="15" customHeight="1" x14ac:dyDescent="0.2">
      <c r="A50" s="244" t="s">
        <v>298</v>
      </c>
      <c r="B50" s="522"/>
      <c r="C50" s="523"/>
      <c r="D50" s="525"/>
      <c r="E50" s="525"/>
      <c r="F50" s="525"/>
      <c r="G50" s="525"/>
    </row>
  </sheetData>
  <sheetProtection selectLockedCells="1" selectUnlockedCells="1"/>
  <mergeCells count="5">
    <mergeCell ref="D1:G1"/>
    <mergeCell ref="A2:B2"/>
    <mergeCell ref="A3:B3"/>
    <mergeCell ref="D4:F4"/>
    <mergeCell ref="A5:B5"/>
  </mergeCells>
  <printOptions horizontalCentered="1"/>
  <pageMargins left="0.31496062992125984" right="0.19685039370078741" top="0.31496062992125984" bottom="0.39370078740157483" header="0.15748031496062992" footer="0.15748031496062992"/>
  <pageSetup paperSize="9" scale="95" firstPageNumber="69" orientation="portrait" useFirstPageNumber="1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view="pageBreakPreview" topLeftCell="A19" zoomScale="110" zoomScaleNormal="130" zoomScaleSheetLayoutView="110" workbookViewId="0">
      <selection activeCell="C25" sqref="C25"/>
    </sheetView>
  </sheetViews>
  <sheetFormatPr defaultRowHeight="12.75" x14ac:dyDescent="0.2"/>
  <cols>
    <col min="1" max="1" width="7.6640625" style="161" customWidth="1"/>
    <col min="2" max="2" width="9.6640625" style="162" customWidth="1"/>
    <col min="3" max="3" width="61.5" style="162" customWidth="1"/>
    <col min="4" max="4" width="16.83203125" style="162" customWidth="1"/>
    <col min="5" max="6" width="14.5" style="162" hidden="1" customWidth="1"/>
    <col min="7" max="7" width="9.6640625" style="162" hidden="1" customWidth="1"/>
    <col min="8" max="9" width="9.33203125" style="162"/>
    <col min="10" max="10" width="9.83203125" style="162" customWidth="1"/>
    <col min="11" max="16384" width="9.33203125" style="162"/>
  </cols>
  <sheetData>
    <row r="1" spans="1:7" s="449" customFormat="1" ht="14.25" customHeight="1" x14ac:dyDescent="0.2">
      <c r="A1" s="446"/>
      <c r="B1" s="447"/>
      <c r="C1" s="448"/>
      <c r="D1" s="1609" t="s">
        <v>839</v>
      </c>
      <c r="E1" s="1609"/>
      <c r="F1" s="1609"/>
      <c r="G1" s="1609"/>
    </row>
    <row r="2" spans="1:7" s="165" customFormat="1" ht="31.5" customHeight="1" x14ac:dyDescent="0.2">
      <c r="A2" s="1573" t="s">
        <v>796</v>
      </c>
      <c r="B2" s="1573"/>
      <c r="C2" s="163" t="s">
        <v>840</v>
      </c>
      <c r="D2" s="1615" t="s">
        <v>1481</v>
      </c>
      <c r="E2" s="469"/>
      <c r="F2" s="469"/>
      <c r="G2" s="469"/>
    </row>
    <row r="3" spans="1:7" s="165" customFormat="1" ht="30" customHeight="1" x14ac:dyDescent="0.2">
      <c r="A3" s="1571" t="s">
        <v>264</v>
      </c>
      <c r="B3" s="1571"/>
      <c r="C3" s="166"/>
      <c r="D3" s="1616"/>
      <c r="E3" s="450"/>
      <c r="F3" s="450"/>
      <c r="G3" s="450"/>
    </row>
    <row r="4" spans="1:7" s="169" customFormat="1" ht="13.5" customHeight="1" x14ac:dyDescent="0.25">
      <c r="A4" s="167"/>
      <c r="B4" s="167"/>
      <c r="C4" s="167"/>
      <c r="D4" s="1590" t="s">
        <v>1482</v>
      </c>
      <c r="E4" s="1590"/>
      <c r="F4" s="1590"/>
      <c r="G4" s="168" t="s">
        <v>196</v>
      </c>
    </row>
    <row r="5" spans="1:7" ht="30.7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175" customFormat="1" ht="12.9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175" customFormat="1" ht="15.9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238143</v>
      </c>
      <c r="E8" s="254">
        <f>SUM(E9:E16)</f>
        <v>0</v>
      </c>
      <c r="F8" s="254" t="e">
        <f>SUM(F9:F16)</f>
        <v>#REF!</v>
      </c>
      <c r="G8" s="254" t="e">
        <f>F8/E8*100</f>
        <v>#REF!</v>
      </c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>
        <f>SUM('.'!D9+'..'!D9+'...'!D9+'.-'!D9+'.-.'!D9+','!D9+'5.1. sz. mell. '!D9+'5.2. sz. mell.  '!D9+'5.3 sz. mell'!D9+'5.4. sz mell'!D9+'5.5. sz. mell.  '!D9+'5.6. sz. mell'!D9+'5.7. sz. mell.'!D9+'5.8. sz. mell.'!D9+'5.9. sz. mell. '!D9+'5.10. sz. mell.'!D9+'5.11 sz. mell '!D9)</f>
        <v>0</v>
      </c>
      <c r="E9" s="257">
        <f>SUM('.'!E9+'..'!E9+'...'!E9+'.-'!E9+'.-.'!E9+','!E9+'5.1. sz. mell. '!E9+'5.2. sz. mell.  '!E9+'5.3 sz. mell'!E9+'5.4. sz mell'!E9+'5.5. sz. mell.  '!E9+'5.6. sz. mell'!E9+'5.7. sz. mell.'!E9+'5.8. sz. mell.'!E9+'5.9. sz. mell. '!E9+'5.10. sz. mell.'!E9+'5.11 sz. mell '!E9)</f>
        <v>0</v>
      </c>
      <c r="F9" s="257">
        <f>SUM('.'!F9+'..'!F9+'...'!F9+'.-'!F9+'.-.'!F9+','!F9+'5.1. sz. mell. '!F9+'5.2. sz. mell.  '!F9+'5.3 sz. mell'!F9+'5.4. sz mell'!F9+'5.5. sz. mell.  '!F9+'5.6. sz. mell'!F9+'5.7. sz. mell.'!F9+'5.8. sz. mell.'!F9+'5.9. sz. mell. '!F9+'5.10. sz. mell.'!F9+'5.11 sz. mell '!F9)</f>
        <v>0</v>
      </c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>
        <f>SUM('.'!D10+'..'!D10+'...'!D10+'.-'!D10+'.-.'!D10+','!D10+'5.1. sz. mell. '!D10+'5.2. sz. mell.  '!D10+'5.3 sz. mell'!D10+'5.4. sz mell'!D10+'5.5. sz. mell.  '!D10+'5.6. sz. mell'!D10+'5.7. sz. mell.'!D10+'5.8. sz. mell.'!D10+'5.9. sz. mell. '!D10+'5.10. sz. mell.'!D10+'5.11 sz. mell '!D10)</f>
        <v>184960</v>
      </c>
      <c r="E10" s="255">
        <f>SUM('.'!E10+'..'!E10+'...'!E10+'.-'!E10+'.-.'!E10+','!E10+'5.1. sz. mell. '!E10+'5.2. sz. mell.  '!E10+'5.3 sz. mell'!E10+'5.4. sz mell'!E10+'5.5. sz. mell.  '!E10+'5.6. sz. mell'!E10+'5.7. sz. mell.'!E10+'5.8. sz. mell.'!E10+'5.9. sz. mell. '!E10+'5.10. sz. mell.'!E10+'5.11 sz. mell '!E10)</f>
        <v>0</v>
      </c>
      <c r="F10" s="255" t="e">
        <f>SUM('.'!F10+'..'!F10+'...'!F10+'.-'!F10+'.-.'!F10+','!F10+'5.1. sz. mell. '!F10+'5.2. sz. mell.  '!F10+'5.3 sz. mell'!F10+'5.4. sz mell'!F10+'5.5. sz. mell.  '!F10+'5.6. sz. mell'!F10+'5.7. sz. mell.'!F10+'5.8. sz. mell.'!F10+'5.9. sz. mell. '!F10+'5.10. sz. mell.'!F10+'5.11 sz. mell '!F10)</f>
        <v>#REF!</v>
      </c>
      <c r="G10" s="255" t="e">
        <f t="shared" ref="G10:G62" si="0">F10/E10*100</f>
        <v>#REF!</v>
      </c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>
        <f>SUM('.'!D11+'..'!D11+'...'!D11+'.-'!D11+'.-.'!D11+','!D11+'5.1. sz. mell. '!D11+'5.2. sz. mell.  '!D11+'5.3 sz. mell'!D11+'5.4. sz mell'!D11+'5.5. sz. mell.  '!D11+'5.6. sz. mell'!D11+'5.7. sz. mell.'!D11+'5.8. sz. mell.'!D11+'5.9. sz. mell. '!D11+'5.10. sz. mell.'!D11+'5.11 sz. mell '!D11)</f>
        <v>4700</v>
      </c>
      <c r="E11" s="255">
        <f>SUM('.'!E11+'..'!E11+'...'!E11+'.-'!E11+'.-.'!E11+','!E11+'5.1. sz. mell. '!E11+'5.2. sz. mell.  '!E11+'5.3 sz. mell'!E11+'5.4. sz mell'!E11+'5.5. sz. mell.  '!E11+'5.6. sz. mell'!E11+'5.7. sz. mell.'!E11+'5.8. sz. mell.'!E11+'5.9. sz. mell. '!E11+'5.10. sz. mell.'!E11+'5.11 sz. mell '!E11)</f>
        <v>0</v>
      </c>
      <c r="F11" s="255">
        <f>SUM('.'!F11+'..'!F11+'...'!F11+'.-'!F11+'.-.'!F11+','!F11+'5.1. sz. mell. '!F11+'5.2. sz. mell.  '!F11+'5.3 sz. mell'!F11+'5.4. sz mell'!F11+'5.5. sz. mell.  '!F11+'5.6. sz. mell'!F11+'5.7. sz. mell.'!F11+'5.8. sz. mell.'!F11+'5.9. sz. mell. '!F11+'5.10. sz. mell.'!F11+'5.11 sz. mell '!F11)</f>
        <v>0</v>
      </c>
      <c r="G11" s="255" t="e">
        <f t="shared" si="0"/>
        <v>#DIV/0!</v>
      </c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>
        <f>SUM('.'!D12+'..'!D12+'...'!D12+'.-'!D12+'.-.'!D12+','!D12+'5.1. sz. mell. '!D12+'5.2. sz. mell.  '!D12+'5.3 sz. mell'!D12+'5.4. sz mell'!D12+'5.5. sz. mell.  '!D12+'5.6. sz. mell'!D12+'5.7. sz. mell.'!D12+'5.8. sz. mell.'!D12+'5.9. sz. mell. '!D12+'5.10. sz. mell.'!D12+'5.11 sz. mell '!D12)</f>
        <v>2571</v>
      </c>
      <c r="E12" s="255">
        <f>SUM('.'!E12+'..'!E12+'...'!E12+'.-'!E12+'.-.'!E12+','!E12+'5.1. sz. mell. '!E12+'5.2. sz. mell.  '!E12+'5.3 sz. mell'!E12+'5.4. sz mell'!E12+'5.5. sz. mell.  '!E12+'5.6. sz. mell'!E12+'5.7. sz. mell.'!E12+'5.8. sz. mell.'!E12+'5.9. sz. mell. '!E12+'5.10. sz. mell.'!E12+'5.11 sz. mell '!E12)</f>
        <v>0</v>
      </c>
      <c r="F12" s="255">
        <f>SUM('.'!F12+'..'!F12+'...'!F12+'.-'!F12+'.-.'!F12+','!F12+'5.1. sz. mell. '!F12+'5.2. sz. mell.  '!F12+'5.3 sz. mell'!F12+'5.4. sz mell'!F12+'5.5. sz. mell.  '!F12+'5.6. sz. mell'!F12+'5.7. sz. mell.'!F12+'5.8. sz. mell.'!F12+'5.9. sz. mell. '!F12+'5.10. sz. mell.'!F12+'5.11 sz. mell '!F12)</f>
        <v>0</v>
      </c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>
        <f>SUM('.'!D13+'..'!D13+'...'!D13+'.-'!D13+'.-.'!D13+','!D13+'5.1. sz. mell. '!D13+'5.2. sz. mell.  '!D13+'5.3 sz. mell'!D13+'5.4. sz mell'!D13+'5.5. sz. mell.  '!D13+'5.6. sz. mell'!D13+'5.7. sz. mell.'!D13+'5.8. sz. mell.'!D13+'5.9. sz. mell. '!D13+'5.10. sz. mell.'!D13+'5.11 sz. mell '!D13)</f>
        <v>907</v>
      </c>
      <c r="E13" s="255">
        <f>SUM('.'!E13+'..'!E13+'...'!E13+'.-'!E13+'.-.'!E13+','!E13+'5.1. sz. mell. '!E13+'5.2. sz. mell.  '!E13+'5.3 sz. mell'!E13+'5.4. sz mell'!E13+'5.5. sz. mell.  '!E13+'5.6. sz. mell'!E13+'5.7. sz. mell.'!E13+'5.8. sz. mell.'!E13+'5.9. sz. mell. '!E13+'5.10. sz. mell.'!E13+'5.11 sz. mell '!E13)</f>
        <v>0</v>
      </c>
      <c r="F13" s="255">
        <f>SUM('.'!F13+'..'!F13+'...'!F13+'.-'!F13+'.-.'!F13+','!F13+'5.1. sz. mell. '!F13+'5.2. sz. mell.  '!F13+'5.3 sz. mell'!F13+'5.4. sz mell'!F13+'5.5. sz. mell.  '!F13+'5.6. sz. mell'!F13+'5.7. sz. mell.'!F13+'5.8. sz. mell.'!F13+'5.9. sz. mell. '!F13+'5.10. sz. mell.'!F13+'5.11 sz. mell '!F13)</f>
        <v>0</v>
      </c>
      <c r="G13" s="255" t="e">
        <f t="shared" si="0"/>
        <v>#DIV/0!</v>
      </c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5">
        <f>SUM('.'!D14+'..'!D14+'...'!D14+'.-'!D14+'.-.'!D14+','!D14+'5.1. sz. mell. '!D14+'5.2. sz. mell.  '!D14+'5.3 sz. mell'!D14+'5.4. sz mell'!D14+'5.5. sz. mell.  '!D14+'5.6. sz. mell'!D14+'5.7. sz. mell.'!D14+'5.8. sz. mell.'!D14+'5.9. sz. mell. '!D14+'5.10. sz. mell.'!D14+'5.11 sz. mell '!D14)</f>
        <v>45005</v>
      </c>
      <c r="E14" s="255">
        <f>SUM('.'!E14+'..'!E14+'...'!E14+'.-'!E14+'.-.'!E14+','!E14+'5.1. sz. mell. '!E14+'5.2. sz. mell.  '!E14+'5.3 sz. mell'!E14+'5.4. sz mell'!E14+'5.5. sz. mell.  '!E14+'5.6. sz. mell'!E14+'5.7. sz. mell.'!E14+'5.8. sz. mell.'!E14+'5.9. sz. mell. '!E14+'5.10. sz. mell.'!E14+'5.11 sz. mell '!E14)</f>
        <v>0</v>
      </c>
      <c r="F14" s="255">
        <f>SUM('.'!F14+'..'!F14+'...'!F14+'.-'!F14+'.-.'!F14+','!F14+'5.1. sz. mell. '!F14+'5.2. sz. mell.  '!F14+'5.3 sz. mell'!F14+'5.4. sz mell'!F14+'5.5. sz. mell.  '!F14+'5.6. sz. mell'!F14+'5.7. sz. mell.'!F14+'5.8. sz. mell.'!F14+'5.9. sz. mell. '!F14+'5.10. sz. mell.'!F14+'5.11 sz. mell '!F14)</f>
        <v>0</v>
      </c>
      <c r="G14" s="255" t="e">
        <f t="shared" si="0"/>
        <v>#DIV/0!</v>
      </c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>
        <f>SUM('.'!D15+'..'!D15+'...'!D15+'.-'!D15+'.-.'!D15+','!D15+'5.1. sz. mell. '!D15+'5.2. sz. mell.  '!D15+'5.3 sz. mell'!D15+'5.4. sz mell'!D15+'5.5. sz. mell.  '!D15+'5.6. sz. mell'!D15+'5.7. sz. mell.'!D15+'5.8. sz. mell.'!D15+'5.9. sz. mell. '!D15+'5.10. sz. mell.'!D15+'5.11 sz. mell '!D15)</f>
        <v>0</v>
      </c>
      <c r="E15" s="255">
        <f>SUM('.'!E15+'..'!E15+'...'!E15+'.-'!E15+'.-.'!E15+','!E15+'5.1. sz. mell. '!E15+'5.2. sz. mell.  '!E15+'5.3 sz. mell'!E15+'5.4. sz mell'!E15+'5.5. sz. mell.  '!E15+'5.6. sz. mell'!E15+'5.7. sz. mell.'!E15+'5.8. sz. mell.'!E15+'5.9. sz. mell. '!E15+'5.10. sz. mell.'!E15+'5.11 sz. mell '!E15)</f>
        <v>0</v>
      </c>
      <c r="F15" s="255">
        <f>SUM('.'!F15+'..'!F15+'...'!F15+'.-'!F15+'.-.'!F15+','!F15+'5.1. sz. mell. '!F15+'5.2. sz. mell.  '!F15+'5.3 sz. mell'!F15+'5.4. sz mell'!F15+'5.5. sz. mell.  '!F15+'5.6. sz. mell'!F15+'5.7. sz. mell.'!F15+'5.8. sz. mell.'!F15+'5.9. sz. mell. '!F15+'5.10. sz. mell.'!F15+'5.11 sz. mell '!F15)</f>
        <v>0</v>
      </c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61">
        <f>SUM('.'!D16+'..'!D16+'...'!D16+'.-'!D16+'.-.'!D16+','!D16+'5.1. sz. mell. '!D16+'5.2. sz. mell.  '!D16+'5.3 sz. mell'!D16+'5.4. sz mell'!D16+'5.5. sz. mell.  '!D16+'5.6. sz. mell'!D16+'5.7. sz. mell.'!D16+'5.8. sz. mell.'!D16+'5.9. sz. mell. '!D16+'5.10. sz. mell.'!D16+'5.11 sz. mell '!D16)</f>
        <v>0</v>
      </c>
      <c r="E16" s="261">
        <f>SUM('.'!E16+'..'!E16+'...'!E16+'.-'!E16+'.-.'!E16+','!E16+'5.1. sz. mell. '!E16+'5.2. sz. mell.  '!E16+'5.3 sz. mell'!E16+'5.4. sz mell'!E16+'5.5. sz. mell.  '!E16+'5.6. sz. mell'!E16+'5.7. sz. mell.'!E16+'5.8. sz. mell.'!E16+'5.9. sz. mell. '!E16+'5.10. sz. mell.'!E16+'5.11 sz. mell '!E16)</f>
        <v>0</v>
      </c>
      <c r="F16" s="261">
        <f>SUM('.'!F16+'..'!F16+'...'!F16+'.-'!F16+'.-.'!F16+','!F16+'5.1. sz. mell. '!F16+'5.2. sz. mell.  '!F16+'5.3 sz. mell'!F16+'5.4. sz mell'!F16+'5.5. sz. mell.  '!F16+'5.6. sz. mell'!F16+'5.7. sz. mell.'!F16+'5.8. sz. mell.'!F16+'5.9. sz. mell. '!F16+'5.10. sz. mell.'!F16+'5.11 sz. mell '!F16)</f>
        <v>0</v>
      </c>
      <c r="G16" s="261" t="e">
        <f t="shared" si="0"/>
        <v>#DIV/0!</v>
      </c>
    </row>
    <row r="17" spans="1:11" s="183" customFormat="1" ht="15" customHeight="1" x14ac:dyDescent="0.2">
      <c r="A17" s="180" t="s">
        <v>6</v>
      </c>
      <c r="B17" s="181"/>
      <c r="C17" s="222" t="s">
        <v>1963</v>
      </c>
      <c r="D17" s="254">
        <f>SUM(D18:D23)-D21</f>
        <v>874781</v>
      </c>
      <c r="E17" s="254">
        <f>SUM(E18+E27+E23+E25+E24+E26)</f>
        <v>0</v>
      </c>
      <c r="F17" s="254" t="e">
        <f>SUM(F18+F27+F23+F25+F24+F26)</f>
        <v>#REF!</v>
      </c>
      <c r="G17" s="254" t="e">
        <f t="shared" si="0"/>
        <v>#REF!</v>
      </c>
    </row>
    <row r="18" spans="1:11" s="187" customFormat="1" ht="15" customHeight="1" x14ac:dyDescent="0.2">
      <c r="A18" s="184"/>
      <c r="B18" s="185" t="s">
        <v>7</v>
      </c>
      <c r="C18" s="27" t="s">
        <v>1964</v>
      </c>
      <c r="D18" s="257"/>
      <c r="E18" s="257">
        <f>SUM(E19:E20)</f>
        <v>0</v>
      </c>
      <c r="F18" s="257" t="e">
        <f>SUM(F19:F20)</f>
        <v>#REF!</v>
      </c>
      <c r="G18" s="257" t="e">
        <f t="shared" si="0"/>
        <v>#REF!</v>
      </c>
    </row>
    <row r="19" spans="1:11" s="187" customFormat="1" ht="15" customHeight="1" x14ac:dyDescent="0.2">
      <c r="A19" s="184"/>
      <c r="B19" s="185" t="s">
        <v>754</v>
      </c>
      <c r="C19" s="32" t="s">
        <v>52</v>
      </c>
      <c r="D19" s="262">
        <f>SUM('5.11 sz. mell '!D18)</f>
        <v>442256</v>
      </c>
      <c r="E19" s="262">
        <f>SUM('5.11 sz. mell '!E18)</f>
        <v>0</v>
      </c>
      <c r="F19" s="262" t="e">
        <f>SUM('5.11 sz. mell '!F18)</f>
        <v>#REF!</v>
      </c>
      <c r="G19" s="262" t="e">
        <f t="shared" si="0"/>
        <v>#REF!</v>
      </c>
    </row>
    <row r="20" spans="1:11" s="187" customFormat="1" ht="35.25" customHeight="1" x14ac:dyDescent="0.2">
      <c r="A20" s="184"/>
      <c r="B20" s="185" t="s">
        <v>755</v>
      </c>
      <c r="C20" s="32" t="s">
        <v>1966</v>
      </c>
      <c r="D20" s="255">
        <f>SUM('.'!D18+'..'!D18+'...'!D18+'.-'!D18+'.-.'!D18+','!D18+'5.1. sz. mell. '!D18+'5.2. sz. mell.  '!D18+'5.3 sz. mell'!D18+'5.4. sz mell'!D18+'5.5. sz. mell.  '!D18+'5.6. sz. mell'!D18+'5.7. sz. mell.'!D18+'5.8. sz. mell.'!D18+'5.9. sz. mell. '!D18+'5.10. sz. mell.'!D18)</f>
        <v>427277</v>
      </c>
      <c r="E20" s="255">
        <f>SUM('.'!E18+'..'!E18+'...'!E18+'.-'!E18+'.-.'!E18+','!E18+'5.1. sz. mell. '!E18+'5.2. sz. mell.  '!E18+'5.3 sz. mell'!E18+'5.4. sz mell'!E18+'5.5. sz. mell.  '!E18+'5.6. sz. mell'!E18+'5.7. sz. mell.'!E18+'5.8. sz. mell.'!E18+'5.9. sz. mell. '!E18+'5.10. sz. mell.'!E18)</f>
        <v>0</v>
      </c>
      <c r="F20" s="255">
        <f>SUM('.'!F18+'..'!F18+'...'!F18+'.-'!F18+'.-.'!F18+','!F18+'5.1. sz. mell. '!F18+'5.2. sz. mell.  '!F18+'5.3 sz. mell'!F18+'5.4. sz mell'!F18+'5.5. sz. mell.  '!F18+'5.6. sz. mell'!F18+'5.7. sz. mell.'!F18+'5.8. sz. mell.'!F18+'5.9. sz. mell. '!F18+'5.10. sz. mell.'!F18)</f>
        <v>0</v>
      </c>
      <c r="G20" s="255" t="e">
        <f t="shared" si="0"/>
        <v>#DIV/0!</v>
      </c>
    </row>
    <row r="21" spans="1:11" s="187" customFormat="1" ht="15" customHeight="1" x14ac:dyDescent="0.2">
      <c r="A21" s="184"/>
      <c r="B21" s="185" t="s">
        <v>756</v>
      </c>
      <c r="C21" s="526" t="s">
        <v>841</v>
      </c>
      <c r="D21" s="255">
        <f>SUM('.'!D19+'...'!D19+'5.1. sz. mell. '!D19+'5.2. sz. mell.  '!D19)</f>
        <v>0</v>
      </c>
      <c r="E21" s="255">
        <f>SUM('.'!E19+'...'!E19+'5.1. sz. mell. '!E19+'5.2. sz. mell.  '!E19)</f>
        <v>0</v>
      </c>
      <c r="F21" s="255">
        <f>SUM('.'!F19+'...'!F19+'5.1. sz. mell. '!F19+'5.2. sz. mell.  '!F19)</f>
        <v>0</v>
      </c>
      <c r="G21" s="255" t="e">
        <f t="shared" si="0"/>
        <v>#DIV/0!</v>
      </c>
    </row>
    <row r="22" spans="1:11" s="187" customFormat="1" ht="15" customHeight="1" x14ac:dyDescent="0.2">
      <c r="A22" s="184"/>
      <c r="B22" s="185" t="s">
        <v>842</v>
      </c>
      <c r="C22" s="15" t="s">
        <v>802</v>
      </c>
      <c r="D22" s="255"/>
      <c r="E22" s="255"/>
      <c r="F22" s="255"/>
      <c r="G22" s="255"/>
    </row>
    <row r="23" spans="1:11" s="187" customFormat="1" ht="15" customHeight="1" x14ac:dyDescent="0.2">
      <c r="A23" s="184"/>
      <c r="B23" s="185" t="s">
        <v>427</v>
      </c>
      <c r="C23" s="15" t="s">
        <v>803</v>
      </c>
      <c r="D23" s="261">
        <f>SUM('5.9. sz. mell. '!D22+'5.10. sz. mell.'!D21)</f>
        <v>5248</v>
      </c>
      <c r="E23" s="261">
        <f>SUM('..'!E21+','!E21+'5.1. sz. mell. '!E22+'5.2. sz. mell.  '!E22+'5.3 sz. mell'!E21+'5.4. sz mell'!E21+'5.5. sz. mell.  '!E21+'5.6. sz. mell'!E21+'5.7. sz. mell.'!E21+'5.9. sz. mell. '!E22+'5.10. sz. mell.'!E21)</f>
        <v>0</v>
      </c>
      <c r="F23" s="261">
        <f>SUM('..'!F21+','!F21+'5.1. sz. mell. '!F22+'5.2. sz. mell.  '!F22+'5.3 sz. mell'!F21+'5.4. sz mell'!F21+'5.5. sz. mell.  '!F21+'5.6. sz. mell'!F21+'5.7. sz. mell.'!F21+'5.9. sz. mell. '!F22+'5.10. sz. mell.'!F21)-791</f>
        <v>-791</v>
      </c>
      <c r="G23" s="255" t="e">
        <f t="shared" si="0"/>
        <v>#DIV/0!</v>
      </c>
    </row>
    <row r="24" spans="1:11" s="187" customFormat="1" ht="15" customHeight="1" x14ac:dyDescent="0.2">
      <c r="A24" s="184"/>
      <c r="B24" s="185" t="s">
        <v>1972</v>
      </c>
      <c r="C24" s="27" t="s">
        <v>1967</v>
      </c>
      <c r="D24" s="255"/>
      <c r="E24" s="255">
        <f>'.-.'!E21</f>
        <v>0</v>
      </c>
      <c r="F24" s="255">
        <f>'.-.'!F21</f>
        <v>0</v>
      </c>
      <c r="G24" s="255" t="e">
        <f>F24/E24*100</f>
        <v>#DIV/0!</v>
      </c>
      <c r="H24" s="531"/>
      <c r="I24" s="531"/>
      <c r="J24" s="201"/>
      <c r="K24" s="201"/>
    </row>
    <row r="25" spans="1:11" s="187" customFormat="1" ht="15" customHeight="1" x14ac:dyDescent="0.2">
      <c r="A25" s="184"/>
      <c r="B25" s="185" t="s">
        <v>1973</v>
      </c>
      <c r="C25" s="27" t="s">
        <v>1968</v>
      </c>
      <c r="D25" s="255"/>
      <c r="E25" s="255">
        <f>'.'!E20+'...'!E20+'5.9. sz. mell. '!E19</f>
        <v>0</v>
      </c>
      <c r="F25" s="255">
        <f>'.'!F20+'...'!F20+'5.9. sz. mell. '!F19</f>
        <v>0</v>
      </c>
      <c r="G25" s="255" t="e">
        <f t="shared" si="0"/>
        <v>#DIV/0!</v>
      </c>
      <c r="H25" s="531"/>
      <c r="I25" s="531"/>
      <c r="J25" s="201"/>
      <c r="K25" s="201"/>
    </row>
    <row r="26" spans="1:11" s="187" customFormat="1" ht="15" customHeight="1" x14ac:dyDescent="0.2">
      <c r="A26" s="184"/>
      <c r="B26" s="185" t="s">
        <v>1974</v>
      </c>
      <c r="C26" s="27" t="s">
        <v>1969</v>
      </c>
      <c r="D26" s="255"/>
      <c r="E26" s="255">
        <f>'5.10. sz. mell.'!E22</f>
        <v>0</v>
      </c>
      <c r="F26" s="255">
        <f>'5.10. sz. mell.'!F22</f>
        <v>0</v>
      </c>
      <c r="G26" s="255"/>
      <c r="H26" s="531"/>
      <c r="I26" s="531"/>
      <c r="J26" s="201"/>
      <c r="K26" s="201"/>
    </row>
    <row r="27" spans="1:11" s="187" customFormat="1" ht="15" customHeight="1" x14ac:dyDescent="0.2">
      <c r="A27" s="184"/>
      <c r="B27" s="185" t="s">
        <v>9</v>
      </c>
      <c r="C27" s="15" t="s">
        <v>1752</v>
      </c>
      <c r="D27" s="258"/>
      <c r="E27" s="258">
        <f>SUM(E28:E29)</f>
        <v>0</v>
      </c>
      <c r="F27" s="258" t="e">
        <f>SUM(F28:F29)</f>
        <v>#REF!</v>
      </c>
      <c r="G27" s="255" t="e">
        <f t="shared" si="0"/>
        <v>#REF!</v>
      </c>
    </row>
    <row r="28" spans="1:11" s="187" customFormat="1" ht="15" customHeight="1" x14ac:dyDescent="0.2">
      <c r="A28" s="184"/>
      <c r="B28" s="185" t="s">
        <v>843</v>
      </c>
      <c r="C28" s="15" t="s">
        <v>1970</v>
      </c>
      <c r="D28" s="255"/>
      <c r="E28" s="255">
        <f>'5.11 sz. mell '!E19</f>
        <v>0</v>
      </c>
      <c r="F28" s="255" t="e">
        <f>'5.11 sz. mell '!F19-'5.11.1. sz. mell.'!T100</f>
        <v>#REF!</v>
      </c>
      <c r="G28" s="255" t="e">
        <f>F28/E28*100</f>
        <v>#REF!</v>
      </c>
    </row>
    <row r="29" spans="1:11" s="187" customFormat="1" ht="15" customHeight="1" x14ac:dyDescent="0.2">
      <c r="A29" s="184"/>
      <c r="B29" s="185" t="s">
        <v>1149</v>
      </c>
      <c r="C29" s="15" t="s">
        <v>1971</v>
      </c>
      <c r="D29" s="255"/>
      <c r="E29" s="255">
        <f>'5.11.1. sz. mell.'!S100</f>
        <v>0</v>
      </c>
      <c r="F29" s="255" t="e">
        <f>'5.11.1. sz. mell.'!T100</f>
        <v>#REF!</v>
      </c>
      <c r="G29" s="255"/>
    </row>
    <row r="30" spans="1:11" s="183" customFormat="1" ht="15" customHeight="1" x14ac:dyDescent="0.2">
      <c r="A30" s="180"/>
      <c r="B30" s="181"/>
      <c r="C30" s="182" t="s">
        <v>844</v>
      </c>
      <c r="D30" s="254">
        <f>SUM(D31)</f>
        <v>0</v>
      </c>
      <c r="E30" s="254">
        <f>SUM(E31)</f>
        <v>0</v>
      </c>
      <c r="F30" s="254" t="e">
        <f>SUM(F31)</f>
        <v>#REF!</v>
      </c>
      <c r="G30" s="254" t="e">
        <f>F30/E30*100</f>
        <v>#REF!</v>
      </c>
    </row>
    <row r="31" spans="1:11" s="187" customFormat="1" ht="15" customHeight="1" x14ac:dyDescent="0.2">
      <c r="A31" s="184"/>
      <c r="B31" s="185" t="s">
        <v>13</v>
      </c>
      <c r="C31" s="15" t="s">
        <v>453</v>
      </c>
      <c r="D31" s="261">
        <f>SUM('.'!D25+'..'!D23+'...'!D25+'.-'!D23+'.-.'!D23+','!D23+'5.1. sz. mell. '!D24+'5.2. sz. mell.  '!D24+'5.3 sz. mell'!D23+'5.4. sz mell'!D23+'5.5. sz. mell.  '!D23+'5.6. sz. mell'!D23+'5.7. sz. mell.'!D23+'5.8. sz. mell.'!D23+'5.9. sz. mell. '!D24+'5.10. sz. mell.'!D24+'5.11 sz. mell '!D23)</f>
        <v>0</v>
      </c>
      <c r="E31" s="261">
        <f>'.-'!E21+'5.8. sz. mell.'!E21+'...'!E23+'.'!E23+'5.11 sz. mell '!E21</f>
        <v>0</v>
      </c>
      <c r="F31" s="261" t="e">
        <f>'.-'!F21+'5.8. sz. mell.'!F21+'...'!F23+'.'!F23+'5.11 sz. mell '!F21</f>
        <v>#REF!</v>
      </c>
      <c r="G31" s="261" t="e">
        <f>F31/E31*100</f>
        <v>#REF!</v>
      </c>
    </row>
    <row r="32" spans="1:11" s="187" customFormat="1" ht="15" customHeight="1" x14ac:dyDescent="0.2">
      <c r="A32" s="180" t="s">
        <v>20</v>
      </c>
      <c r="B32" s="12"/>
      <c r="C32" s="12" t="s">
        <v>804</v>
      </c>
      <c r="D32" s="220"/>
      <c r="E32" s="220">
        <f>SUM(E33:E34)</f>
        <v>0</v>
      </c>
      <c r="F32" s="220" t="e">
        <f>SUM(F33:F34)</f>
        <v>#REF!</v>
      </c>
      <c r="G32" s="220" t="e">
        <f t="shared" si="0"/>
        <v>#REF!</v>
      </c>
    </row>
    <row r="33" spans="1:7" s="187" customFormat="1" ht="15" customHeight="1" x14ac:dyDescent="0.2">
      <c r="A33" s="184"/>
      <c r="B33" s="200" t="s">
        <v>22</v>
      </c>
      <c r="C33" s="15" t="s">
        <v>71</v>
      </c>
      <c r="D33" s="255"/>
      <c r="E33" s="255">
        <f>'5.11.1. sz. mell.'!S91</f>
        <v>0</v>
      </c>
      <c r="F33" s="255" t="e">
        <f>'5.11.1. sz. mell.'!T91</f>
        <v>#REF!</v>
      </c>
      <c r="G33" s="255" t="e">
        <f t="shared" si="0"/>
        <v>#REF!</v>
      </c>
    </row>
    <row r="34" spans="1:7" s="187" customFormat="1" ht="15" customHeight="1" x14ac:dyDescent="0.2">
      <c r="A34" s="184"/>
      <c r="B34" s="200" t="s">
        <v>845</v>
      </c>
      <c r="C34" s="15" t="s">
        <v>73</v>
      </c>
      <c r="D34" s="255"/>
      <c r="E34" s="255"/>
      <c r="F34" s="255"/>
      <c r="G34" s="255"/>
    </row>
    <row r="35" spans="1:7" s="187" customFormat="1" ht="15" customHeight="1" x14ac:dyDescent="0.2">
      <c r="A35" s="184"/>
      <c r="B35" s="200" t="s">
        <v>26</v>
      </c>
      <c r="C35" s="15" t="s">
        <v>74</v>
      </c>
      <c r="D35" s="255"/>
      <c r="E35" s="255"/>
      <c r="F35" s="255"/>
      <c r="G35" s="255"/>
    </row>
    <row r="36" spans="1:7" s="183" customFormat="1" ht="15" customHeight="1" x14ac:dyDescent="0.2">
      <c r="A36" s="180" t="s">
        <v>150</v>
      </c>
      <c r="B36" s="181"/>
      <c r="C36" s="12" t="s">
        <v>846</v>
      </c>
      <c r="D36" s="220"/>
      <c r="E36" s="220"/>
      <c r="F36" s="220"/>
      <c r="G36" s="220"/>
    </row>
    <row r="37" spans="1:7" s="183" customFormat="1" ht="15" customHeight="1" x14ac:dyDescent="0.2">
      <c r="A37" s="180" t="s">
        <v>39</v>
      </c>
      <c r="B37" s="209"/>
      <c r="C37" s="12" t="s">
        <v>847</v>
      </c>
      <c r="D37" s="266">
        <f>+D38+D39</f>
        <v>0</v>
      </c>
      <c r="E37" s="266">
        <f>+E38+E39</f>
        <v>0</v>
      </c>
      <c r="F37" s="266" t="e">
        <f>+F38+F39</f>
        <v>#REF!</v>
      </c>
      <c r="G37" s="266" t="e">
        <f t="shared" si="0"/>
        <v>#REF!</v>
      </c>
    </row>
    <row r="38" spans="1:7" s="183" customFormat="1" ht="15" customHeight="1" x14ac:dyDescent="0.2">
      <c r="A38" s="192"/>
      <c r="B38" s="199" t="s">
        <v>40</v>
      </c>
      <c r="C38" s="19" t="s">
        <v>808</v>
      </c>
      <c r="D38" s="527"/>
      <c r="E38" s="527">
        <f>'5.11.1. sz. mell.'!S99+'5.5. sz. mell.  '!E25</f>
        <v>0</v>
      </c>
      <c r="F38" s="527" t="e">
        <f>'5.11.1. sz. mell.'!T99+'5.5. sz. mell.  '!F25</f>
        <v>#REF!</v>
      </c>
      <c r="G38" s="527" t="e">
        <f t="shared" si="0"/>
        <v>#REF!</v>
      </c>
    </row>
    <row r="39" spans="1:7" s="183" customFormat="1" ht="15" customHeight="1" x14ac:dyDescent="0.2">
      <c r="A39" s="202"/>
      <c r="B39" s="203" t="s">
        <v>41</v>
      </c>
      <c r="C39" s="24" t="s">
        <v>809</v>
      </c>
      <c r="D39" s="528"/>
      <c r="E39" s="528"/>
      <c r="F39" s="528"/>
      <c r="G39" s="528"/>
    </row>
    <row r="40" spans="1:7" s="187" customFormat="1" ht="15" customHeight="1" x14ac:dyDescent="0.25">
      <c r="A40" s="212" t="s">
        <v>49</v>
      </c>
      <c r="B40" s="213"/>
      <c r="C40" s="12" t="s">
        <v>848</v>
      </c>
      <c r="D40" s="479">
        <f>SUM('.'!D29+'..'!D27+'...'!D29+'.-'!D27+'.-.'!D27+','!D27+'5.1. sz. mell. '!D28+'5.2. sz. mell.  '!D28+'5.3 sz. mell'!D27+'5.4. sz mell'!D27+'5.5. sz. mell.  '!D27+'5.6. sz. mell'!D27+'5.7. sz. mell.'!D27+'5.8. sz. mell.'!D27+'5.9. sz. mell. '!D28+'5.10. sz. mell.'!D28+'5.11 sz. mell '!D27)</f>
        <v>282027</v>
      </c>
      <c r="E40" s="479">
        <f>SUM('.'!E29+'..'!E27+'...'!E29+'.-'!E27+'.-.'!E27+','!E27+'5.1. sz. mell. '!E28+'5.2. sz. mell.  '!E28+'5.3 sz. mell'!E27+'5.4. sz mell'!E27+'5.5. sz. mell.  '!E27+'5.6. sz. mell'!E27+'5.7. sz. mell.'!E27+'5.8. sz. mell.'!E27+'5.9. sz. mell. '!E28+'5.10. sz. mell.'!E28+'5.11 sz. mell '!E27)</f>
        <v>0</v>
      </c>
      <c r="F40" s="479" t="e">
        <f>SUM('.'!F29+'..'!F27+'...'!F29+'.-'!F27+'.-.'!F27+','!F27+'5.1. sz. mell. '!F28+'5.2. sz. mell.  '!F28+'5.3 sz. mell'!F27+'5.4. sz mell'!F27+'5.5. sz. mell.  '!F27+'5.6. sz. mell'!F27+'5.7. sz. mell.'!F27+'5.8. sz. mell.'!F27+'5.9. sz. mell. '!F28+'5.10. sz. mell.'!F28+'5.11 sz. mell '!F27)</f>
        <v>#REF!</v>
      </c>
      <c r="G40" s="479" t="e">
        <f t="shared" si="0"/>
        <v>#REF!</v>
      </c>
    </row>
    <row r="41" spans="1:7" s="187" customFormat="1" ht="15" customHeight="1" x14ac:dyDescent="0.25">
      <c r="A41" s="212"/>
      <c r="B41" s="213"/>
      <c r="C41" s="12" t="s">
        <v>849</v>
      </c>
      <c r="D41" s="220"/>
      <c r="E41" s="220">
        <f>'.'!E30+'..'!E28+'...'!E30+'.-'!E28+'.-.'!E28+','!E28+'5.1. sz. mell. '!E29+'5.2. sz. mell.  '!E29+'5.3 sz. mell'!E28+'5.4. sz mell'!E28+'5.5. sz. mell.  '!E28+'5.6. sz. mell'!E28+'5.7. sz. mell.'!E28+'5.8. sz. mell.'!E28+'5.9. sz. mell. '!E29+'5.10. sz. mell.'!E29+'5.11 sz. mell '!E28</f>
        <v>0</v>
      </c>
      <c r="F41" s="220" t="e">
        <f>'.'!F30+'..'!F28+'...'!F30+'.-'!F28+'.-.'!F28+','!F28+'5.1. sz. mell. '!F29+'5.2. sz. mell.  '!F29+'5.3 sz. mell'!F28+'5.4. sz mell'!F28+'5.5. sz. mell.  '!F28+'5.6. sz. mell'!F28+'5.7. sz. mell.'!F28+'5.8. sz. mell.'!F28+'5.9. sz. mell. '!F29+'5.10. sz. mell.'!F29+'5.11 sz. mell '!F28</f>
        <v>#REF!</v>
      </c>
      <c r="G41" s="220"/>
    </row>
    <row r="42" spans="1:7" s="187" customFormat="1" ht="15" customHeight="1" x14ac:dyDescent="0.2">
      <c r="A42" s="268" t="s">
        <v>179</v>
      </c>
      <c r="B42" s="269"/>
      <c r="C42" s="480" t="s">
        <v>850</v>
      </c>
      <c r="D42" s="270">
        <f>SUM(D8,D17,D32,D36,D37,D40)</f>
        <v>1394951</v>
      </c>
      <c r="E42" s="270">
        <f>SUM(E8,E17,E32,E36,E37,E40,E41,E30)</f>
        <v>0</v>
      </c>
      <c r="F42" s="270" t="e">
        <f>SUM(F8,F17,F32,F36,F37,F40,F41,F30)</f>
        <v>#REF!</v>
      </c>
      <c r="G42" s="270" t="e">
        <f t="shared" si="0"/>
        <v>#REF!</v>
      </c>
    </row>
    <row r="43" spans="1:7" s="187" customFormat="1" ht="9" customHeight="1" x14ac:dyDescent="0.2">
      <c r="A43" s="462"/>
      <c r="B43" s="462"/>
      <c r="C43" s="481"/>
      <c r="D43" s="273"/>
      <c r="E43" s="273"/>
      <c r="F43" s="273"/>
      <c r="G43" s="273"/>
    </row>
    <row r="44" spans="1:7" s="175" customFormat="1" ht="15" customHeight="1" x14ac:dyDescent="0.2">
      <c r="A44" s="268"/>
      <c r="B44" s="269"/>
      <c r="C44" s="513" t="s">
        <v>199</v>
      </c>
      <c r="D44" s="270"/>
      <c r="E44" s="270"/>
      <c r="F44" s="270"/>
      <c r="G44" s="270"/>
    </row>
    <row r="45" spans="1:7" s="232" customFormat="1" ht="15" customHeight="1" x14ac:dyDescent="0.2">
      <c r="A45" s="180" t="s">
        <v>5</v>
      </c>
      <c r="B45" s="12"/>
      <c r="C45" s="67" t="s">
        <v>102</v>
      </c>
      <c r="D45" s="112">
        <f>SUM(D46+D48+D50+D53)</f>
        <v>1394951</v>
      </c>
      <c r="E45" s="112">
        <f>SUM(E46+E48+E50+E53)</f>
        <v>0</v>
      </c>
      <c r="F45" s="112" t="e">
        <f>SUM(F46+F48+F50+F53)</f>
        <v>#REF!</v>
      </c>
      <c r="G45" s="112" t="e">
        <f t="shared" si="0"/>
        <v>#REF!</v>
      </c>
    </row>
    <row r="46" spans="1:7" ht="15" customHeight="1" x14ac:dyDescent="0.2">
      <c r="A46" s="204"/>
      <c r="B46" s="231" t="s">
        <v>103</v>
      </c>
      <c r="C46" s="27" t="s">
        <v>104</v>
      </c>
      <c r="D46" s="197">
        <f>SUM('.'!D35+'..'!D33+'...'!D35+'.-'!D33+'.-.'!D33+','!D33+'5.1. sz. mell. '!D34+'5.2. sz. mell.  '!D34+'5.3 sz. mell'!D33+'5.4. sz mell'!D33+'5.5. sz. mell.  '!D33+'5.6. sz. mell'!D33+'5.7. sz. mell.'!D33+'5.8. sz. mell.'!D33+'5.9. sz. mell. '!D34+'5.10. sz. mell.'!D34+'5.11 sz. mell '!D33)</f>
        <v>540807</v>
      </c>
      <c r="E46" s="197">
        <f>SUM('.'!E35+'..'!E33+'...'!E35+'.-'!E33+'.-.'!E33+','!E33+'5.1. sz. mell. '!E34+'5.2. sz. mell.  '!E34+'5.3 sz. mell'!E33+'5.4. sz mell'!E33+'5.5. sz. mell.  '!E33+'5.6. sz. mell'!E33+'5.7. sz. mell.'!E33+'5.8. sz. mell.'!E33+'5.9. sz. mell. '!E34+'5.10. sz. mell.'!E34+'5.11 sz. mell '!E33)</f>
        <v>0</v>
      </c>
      <c r="F46" s="197" t="e">
        <f>SUM('.'!F35+'..'!F33+'...'!F35+'.-'!F33+'.-.'!F33+','!F33+'5.1. sz. mell. '!F34+'5.2. sz. mell.  '!F34+'5.3 sz. mell'!F33+'5.4. sz mell'!F33+'5.5. sz. mell.  '!F33+'5.6. sz. mell'!F33+'5.7. sz. mell.'!F33+'5.8. sz. mell.'!F33+'5.9. sz. mell. '!F34+'5.10. sz. mell.'!F34+'5.11 sz. mell '!F33)</f>
        <v>#REF!</v>
      </c>
      <c r="G46" s="197" t="e">
        <f t="shared" si="0"/>
        <v>#REF!</v>
      </c>
    </row>
    <row r="47" spans="1:7" ht="15" customHeight="1" x14ac:dyDescent="0.2">
      <c r="A47" s="204"/>
      <c r="B47" s="231"/>
      <c r="C47" s="526" t="s">
        <v>841</v>
      </c>
      <c r="D47" s="529">
        <f>SUM('.'!D36+'...'!D36+'5.1. sz. mell. '!D35+'5.2. sz. mell.  '!D35)</f>
        <v>0</v>
      </c>
      <c r="E47" s="529">
        <f>SUM('.'!E36+'...'!E36+'5.1. sz. mell. '!E35+'5.2. sz. mell.  '!E35)</f>
        <v>0</v>
      </c>
      <c r="F47" s="529">
        <f>SUM('.'!F36+'...'!F36+'5.1. sz. mell. '!F35+'5.2. sz. mell.  '!F35)</f>
        <v>0</v>
      </c>
      <c r="G47" s="529" t="e">
        <f t="shared" si="0"/>
        <v>#DIV/0!</v>
      </c>
    </row>
    <row r="48" spans="1:7" ht="15" customHeight="1" x14ac:dyDescent="0.2">
      <c r="A48" s="184"/>
      <c r="B48" s="200" t="s">
        <v>105</v>
      </c>
      <c r="C48" s="15" t="s">
        <v>106</v>
      </c>
      <c r="D48" s="103">
        <f>SUM('.'!D37+'..'!D34+'...'!D37+'.-'!D34+'.-.'!D34+','!D34+'5.1. sz. mell. '!D36+'5.2. sz. mell.  '!D36+'5.3 sz. mell'!D34+'5.4. sz mell'!D34+'5.5. sz. mell.  '!D34+'5.6. sz. mell'!D34+'5.7. sz. mell.'!D34+'5.8. sz. mell.'!D34+'5.9. sz. mell. '!D35+'5.10. sz. mell.'!D35+'5.11 sz. mell '!D34)</f>
        <v>148900</v>
      </c>
      <c r="E48" s="103">
        <f>SUM('.'!E37+'..'!E34+'...'!E37+'.-'!E34+'.-.'!E34+','!E34+'5.1. sz. mell. '!E36+'5.2. sz. mell.  '!E36+'5.3 sz. mell'!E34+'5.4. sz mell'!E34+'5.5. sz. mell.  '!E34+'5.6. sz. mell'!E34+'5.7. sz. mell.'!E34+'5.8. sz. mell.'!E34+'5.9. sz. mell. '!E35+'5.10. sz. mell.'!E35+'5.11 sz. mell '!E34)</f>
        <v>0</v>
      </c>
      <c r="F48" s="103" t="e">
        <f>SUM('.'!F37+'..'!F34+'...'!F37+'.-'!F34+'.-.'!F34+','!F34+'5.1. sz. mell. '!F36+'5.2. sz. mell.  '!F36+'5.3 sz. mell'!F34+'5.4. sz mell'!F34+'5.5. sz. mell.  '!F34+'5.6. sz. mell'!F34+'5.7. sz. mell.'!F34+'5.8. sz. mell.'!F34+'5.9. sz. mell. '!F35+'5.10. sz. mell.'!F35+'5.11 sz. mell '!F34)</f>
        <v>#REF!</v>
      </c>
      <c r="G48" s="103" t="e">
        <f t="shared" si="0"/>
        <v>#REF!</v>
      </c>
    </row>
    <row r="49" spans="1:8" ht="15" customHeight="1" x14ac:dyDescent="0.2">
      <c r="A49" s="184"/>
      <c r="B49" s="200"/>
      <c r="C49" s="526" t="s">
        <v>841</v>
      </c>
      <c r="D49" s="529">
        <f>SUM('.'!D38+'...'!D38+'5.1. sz. mell. '!D37+'5.2. sz. mell.  '!D37)</f>
        <v>0</v>
      </c>
      <c r="E49" s="529">
        <f>SUM('.'!E38+'...'!E38+'5.1. sz. mell. '!E37+'5.2. sz. mell.  '!E37)</f>
        <v>0</v>
      </c>
      <c r="F49" s="529">
        <f>SUM('.'!F38+'...'!F38+'5.1. sz. mell. '!F37+'5.2. sz. mell.  '!F37)</f>
        <v>0</v>
      </c>
      <c r="G49" s="529" t="e">
        <f t="shared" si="0"/>
        <v>#DIV/0!</v>
      </c>
    </row>
    <row r="50" spans="1:8" ht="15" customHeight="1" x14ac:dyDescent="0.2">
      <c r="A50" s="184"/>
      <c r="B50" s="200" t="s">
        <v>107</v>
      </c>
      <c r="C50" s="15" t="s">
        <v>108</v>
      </c>
      <c r="D50" s="103">
        <f>SUM('.'!D39+'..'!D35+'...'!D39+'.-'!D35+'.-.'!D35+','!D35+'5.1. sz. mell. '!D38+'5.2. sz. mell.  '!D38+'5.3 sz. mell'!D35+'5.4. sz mell'!D35+'5.5. sz. mell.  '!D35+'5.6. sz. mell'!D35+'5.7. sz. mell.'!D35+'5.8. sz. mell.'!D35+'5.9. sz. mell. '!D36+'5.10. sz. mell.'!D36+'5.11 sz. mell '!D35)</f>
        <v>695258</v>
      </c>
      <c r="E50" s="103">
        <f>SUM('.'!E39+'..'!E35+'...'!E39+'.-'!E35+'.-.'!E35+','!E35+'5.1. sz. mell. '!E38+'5.2. sz. mell.  '!E38+'5.3 sz. mell'!E35+'5.4. sz mell'!E35+'5.5. sz. mell.  '!E35+'5.6. sz. mell'!E35+'5.7. sz. mell.'!E35+'5.8. sz. mell.'!E35+'5.9. sz. mell. '!E36+'5.10. sz. mell.'!E36+'5.11 sz. mell '!E35)</f>
        <v>0</v>
      </c>
      <c r="F50" s="103" t="e">
        <f>SUM('.'!F39+'..'!F35+'...'!F39+'.-'!F35+'.-.'!F35+','!F35+'5.1. sz. mell. '!F38+'5.2. sz. mell.  '!F38+'5.3 sz. mell'!F35+'5.4. sz mell'!F35+'5.5. sz. mell.  '!F35+'5.6. sz. mell'!F35+'5.7. sz. mell.'!F35+'5.8. sz. mell.'!F35+'5.9. sz. mell. '!F36+'5.10. sz. mell.'!F36+'5.11 sz. mell '!F35)</f>
        <v>#REF!</v>
      </c>
      <c r="G50" s="103" t="e">
        <f t="shared" si="0"/>
        <v>#REF!</v>
      </c>
    </row>
    <row r="51" spans="1:8" ht="15" customHeight="1" x14ac:dyDescent="0.2">
      <c r="A51" s="184"/>
      <c r="B51" s="200"/>
      <c r="C51" s="526" t="s">
        <v>841</v>
      </c>
      <c r="D51" s="529">
        <f>SUM('.'!D40+'...'!D40+'5.1. sz. mell. '!D39+'5.2. sz. mell.  '!D39)</f>
        <v>0</v>
      </c>
      <c r="E51" s="529">
        <f>SUM('.'!E40+'...'!E40+'5.1. sz. mell. '!E39+'5.2. sz. mell.  '!E39)</f>
        <v>0</v>
      </c>
      <c r="F51" s="529">
        <f>SUM('.'!F40+'...'!F40+'5.1. sz. mell. '!F39+'5.2. sz. mell.  '!F39)</f>
        <v>0</v>
      </c>
      <c r="G51" s="529" t="e">
        <f t="shared" si="0"/>
        <v>#DIV/0!</v>
      </c>
    </row>
    <row r="52" spans="1:8" ht="15" customHeight="1" x14ac:dyDescent="0.2">
      <c r="A52" s="184"/>
      <c r="B52" s="200" t="s">
        <v>109</v>
      </c>
      <c r="C52" s="15" t="s">
        <v>110</v>
      </c>
      <c r="D52" s="103"/>
      <c r="E52" s="103"/>
      <c r="F52" s="103"/>
      <c r="G52" s="103"/>
    </row>
    <row r="53" spans="1:8" ht="15" customHeight="1" x14ac:dyDescent="0.2">
      <c r="A53" s="184"/>
      <c r="B53" s="200" t="s">
        <v>111</v>
      </c>
      <c r="C53" s="15" t="s">
        <v>112</v>
      </c>
      <c r="D53" s="103">
        <f>SUM('5.9. sz. mell. '!D38+'5.10. sz. mell.'!D38)</f>
        <v>9986</v>
      </c>
      <c r="E53" s="103">
        <f>SUM('5.9. sz. mell. '!E38+'5.10. sz. mell.'!E38)</f>
        <v>0</v>
      </c>
      <c r="F53" s="103">
        <f>SUM('5.9. sz. mell. '!F38+'5.10. sz. mell.'!F38)</f>
        <v>0</v>
      </c>
      <c r="G53" s="103" t="e">
        <f t="shared" si="0"/>
        <v>#DIV/0!</v>
      </c>
    </row>
    <row r="54" spans="1:8" ht="15" customHeight="1" x14ac:dyDescent="0.2">
      <c r="A54" s="180" t="s">
        <v>6</v>
      </c>
      <c r="B54" s="12"/>
      <c r="C54" s="67" t="s">
        <v>823</v>
      </c>
      <c r="D54" s="112">
        <f>SUM(D55:D58)</f>
        <v>0</v>
      </c>
      <c r="E54" s="112">
        <f>SUM(E55:E58)</f>
        <v>0</v>
      </c>
      <c r="F54" s="112" t="e">
        <f>SUM(F55:F58)</f>
        <v>#REF!</v>
      </c>
      <c r="G54" s="112" t="e">
        <f t="shared" si="0"/>
        <v>#REF!</v>
      </c>
    </row>
    <row r="55" spans="1:8" s="232" customFormat="1" ht="15" customHeight="1" x14ac:dyDescent="0.2">
      <c r="A55" s="204"/>
      <c r="B55" s="231" t="s">
        <v>7</v>
      </c>
      <c r="C55" s="27" t="s">
        <v>816</v>
      </c>
      <c r="D55" s="98"/>
      <c r="E55" s="98">
        <f>'.'!E44+'..'!E39+'...'!E44+'.-'!E39+'.-.'!E39+','!E39+'5.1. sz. mell. '!E43+'5.2. sz. mell.  '!E43+'5.3 sz. mell'!E39+'5.4. sz mell'!E39+'5.5. sz. mell.  '!E39+'5.6. sz. mell'!E39+'5.7. sz. mell.'!E39+'5.8. sz. mell.'!E39+'5.9. sz. mell. '!E40+'5.10. sz. mell.'!E40+'5.11 sz. mell '!E39</f>
        <v>0</v>
      </c>
      <c r="F55" s="98" t="e">
        <f>'.'!F44+'..'!F39+'...'!F44+'.-'!F39+'.-.'!F39+','!F39+'5.1. sz. mell. '!F43+'5.2. sz. mell.  '!F43+'5.3 sz. mell'!F39+'5.4. sz mell'!F39+'5.5. sz. mell.  '!F39+'5.6. sz. mell'!F39+'5.7. sz. mell.'!F39+'5.8. sz. mell.'!F39+'5.9. sz. mell. '!F40+'5.10. sz. mell.'!F40+'5.11 sz. mell '!F39</f>
        <v>#REF!</v>
      </c>
      <c r="G55" s="98" t="e">
        <f t="shared" si="0"/>
        <v>#REF!</v>
      </c>
    </row>
    <row r="56" spans="1:8" ht="15" customHeight="1" x14ac:dyDescent="0.2">
      <c r="A56" s="184"/>
      <c r="B56" s="200" t="s">
        <v>9</v>
      </c>
      <c r="C56" s="15" t="s">
        <v>135</v>
      </c>
      <c r="D56" s="103"/>
      <c r="E56" s="103">
        <f>'.'!E45+'..'!E40+'...'!E45+'.-'!E40+'.-.'!E40+','!E40+'5.1. sz. mell. '!E44+'5.2. sz. mell.  '!E44+'5.3 sz. mell'!E40+'5.4. sz mell'!E40+'5.5. sz. mell.  '!E40+'5.6. sz. mell'!E40+'5.7. sz. mell.'!E40+'5.8. sz. mell.'!E40+'5.9. sz. mell. '!E41+'5.10. sz. mell.'!E41+'5.11 sz. mell '!E40</f>
        <v>0</v>
      </c>
      <c r="F56" s="103" t="e">
        <f>'.'!F45+'..'!F40+'...'!F45+'.-'!F40+'.-.'!F40+','!F40+'5.1. sz. mell. '!F44+'5.2. sz. mell.  '!F44+'5.3 sz. mell'!F40+'5.4. sz mell'!F40+'5.5. sz. mell.  '!F40+'5.6. sz. mell'!F40+'5.7. sz. mell.'!F40+'5.8. sz. mell.'!F40+'5.9. sz. mell. '!F41+'5.10. sz. mell.'!F41+'5.11 sz. mell '!F40</f>
        <v>#REF!</v>
      </c>
      <c r="G56" s="103" t="e">
        <f t="shared" si="0"/>
        <v>#REF!</v>
      </c>
    </row>
    <row r="57" spans="1:8" ht="30" customHeight="1" x14ac:dyDescent="0.2">
      <c r="A57" s="184"/>
      <c r="B57" s="200" t="s">
        <v>15</v>
      </c>
      <c r="C57" s="15" t="s">
        <v>138</v>
      </c>
      <c r="D57" s="103"/>
      <c r="E57" s="103"/>
      <c r="F57" s="103"/>
      <c r="G57" s="103"/>
    </row>
    <row r="58" spans="1:8" ht="15" customHeight="1" x14ac:dyDescent="0.2">
      <c r="A58" s="184"/>
      <c r="B58" s="200" t="s">
        <v>19</v>
      </c>
      <c r="C58" s="15" t="s">
        <v>817</v>
      </c>
      <c r="D58" s="103"/>
      <c r="E58" s="103"/>
      <c r="F58" s="103"/>
      <c r="G58" s="103"/>
    </row>
    <row r="59" spans="1:8" ht="15" customHeight="1" x14ac:dyDescent="0.2">
      <c r="A59" s="180" t="s">
        <v>20</v>
      </c>
      <c r="B59" s="12"/>
      <c r="C59" s="67" t="s">
        <v>818</v>
      </c>
      <c r="D59" s="238"/>
      <c r="E59" s="238"/>
      <c r="F59" s="238"/>
      <c r="G59" s="238"/>
    </row>
    <row r="60" spans="1:8" s="187" customFormat="1" ht="15" customHeight="1" x14ac:dyDescent="0.2">
      <c r="A60" s="180"/>
      <c r="B60" s="12"/>
      <c r="C60" s="67" t="s">
        <v>819</v>
      </c>
      <c r="D60" s="220"/>
      <c r="E60" s="220">
        <f>'.'!E49+'..'!E44+'...'!E49+'.-'!E44+'.-.'!E44+','!E44+'5.1. sz. mell. '!E48+'5.2. sz. mell.  '!E48+'5.3 sz. mell'!E44+'5.4. sz mell'!E44+'5.5. sz. mell.  '!E44+'5.6. sz. mell'!E44+'5.7. sz. mell.'!E44+'5.8. sz. mell.'!E44+'5.9. sz. mell. '!E45+'5.10. sz. mell.'!E45+'5.11 sz. mell '!E44</f>
        <v>0</v>
      </c>
      <c r="F60" s="220" t="e">
        <f>'.'!F49+'..'!F44+'...'!F49+'.-'!F44+'.-.'!F44+','!F44+'5.1. sz. mell. '!F48+'5.2. sz. mell.  '!F48+'5.3 sz. mell'!F44+'5.4. sz mell'!F44+'5.5. sz. mell.  '!F44+'5.6. sz. mell'!F44+'5.7. sz. mell.'!F44+'5.8. sz. mell.'!F44+'5.9. sz. mell. '!F45+'5.10. sz. mell.'!F45+'5.11 sz. mell '!F44</f>
        <v>#REF!</v>
      </c>
      <c r="G60" s="220"/>
    </row>
    <row r="61" spans="1:8" ht="15" customHeight="1" x14ac:dyDescent="0.2">
      <c r="A61" s="268" t="s">
        <v>150</v>
      </c>
      <c r="B61" s="269"/>
      <c r="C61" s="480" t="s">
        <v>820</v>
      </c>
      <c r="D61" s="270">
        <f>+D45+D54+D59</f>
        <v>1394951</v>
      </c>
      <c r="E61" s="270">
        <f>+E45+E54+E59+E60</f>
        <v>0</v>
      </c>
      <c r="F61" s="270" t="e">
        <f>+F45+F54+F59+F60</f>
        <v>#REF!</v>
      </c>
      <c r="G61" s="270" t="e">
        <f t="shared" si="0"/>
        <v>#REF!</v>
      </c>
    </row>
    <row r="62" spans="1:8" ht="15" customHeight="1" x14ac:dyDescent="0.2">
      <c r="A62" s="530"/>
      <c r="B62" s="462"/>
      <c r="C62" s="481" t="s">
        <v>851</v>
      </c>
      <c r="D62" s="273">
        <f>SUM(D47+D49+D51)</f>
        <v>0</v>
      </c>
      <c r="E62" s="273">
        <f>SUM(E47+E49+E51)</f>
        <v>0</v>
      </c>
      <c r="F62" s="273">
        <f>SUM(F47+F49+F51)</f>
        <v>0</v>
      </c>
      <c r="G62" s="273" t="e">
        <f t="shared" si="0"/>
        <v>#DIV/0!</v>
      </c>
      <c r="H62" s="187"/>
    </row>
    <row r="63" spans="1:8" ht="15" customHeight="1" x14ac:dyDescent="0.2">
      <c r="A63" s="244" t="s">
        <v>297</v>
      </c>
      <c r="B63" s="245"/>
      <c r="C63" s="246"/>
      <c r="D63" s="247">
        <f>SUM('.'!D52+'..'!D47+'...'!D52+'.-'!D47+'.-.'!D47+','!D47+'5.1. sz. mell. '!D51+'5.2. sz. mell.  '!D51+'5.3 sz. mell'!D47+'5.4. sz mell'!D47+'5.5. sz. mell.  '!D47+'5.6. sz. mell'!D47+'5.7. sz. mell.'!D47+'5.8. sz. mell.'!D47+'5.9. sz. mell. '!D48+'5.10. sz. mell.'!D48+'5.11 sz. mell '!D47)</f>
        <v>265.5</v>
      </c>
      <c r="E63" s="247">
        <f>SUM('.'!E52+'..'!E47+'...'!E52+'.-'!E47+'.-.'!E47+','!E47+'5.1. sz. mell. '!E51+'5.2. sz. mell.  '!E51+'5.3 sz. mell'!E47+'5.4. sz mell'!E47+'5.5. sz. mell.  '!E47+'5.6. sz. mell'!E47+'5.7. sz. mell.'!E47+'5.8. sz. mell.'!E47+'5.9. sz. mell. '!E48+'5.10. sz. mell.'!E48+'5.11 sz. mell '!E47)</f>
        <v>0</v>
      </c>
      <c r="F63" s="247">
        <f>SUM('.'!F52+'..'!F47+'...'!F52+'.-'!F47+'.-.'!F47+','!F47+'5.1. sz. mell. '!F51+'5.2. sz. mell.  '!F51+'5.3 sz. mell'!F47+'5.4. sz mell'!F47+'5.5. sz. mell.  '!F47+'5.6. sz. mell'!F47+'5.7. sz. mell.'!F47+'5.8. sz. mell.'!F47+'5.9. sz. mell. '!F48+'5.10. sz. mell.'!F48+'5.11 sz. mell '!F47)</f>
        <v>0</v>
      </c>
      <c r="G63" s="247"/>
      <c r="H63" s="187"/>
    </row>
    <row r="64" spans="1:8" ht="15" customHeight="1" x14ac:dyDescent="0.2">
      <c r="A64" s="244" t="s">
        <v>298</v>
      </c>
      <c r="B64" s="245"/>
      <c r="C64" s="246"/>
      <c r="D64" s="285"/>
      <c r="E64" s="285"/>
      <c r="F64" s="285"/>
      <c r="G64" s="285"/>
      <c r="H64" s="187"/>
    </row>
    <row r="65" ht="15" customHeight="1" x14ac:dyDescent="0.2"/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35433070866141736" right="0.19685039370078741" top="0.51181102362204722" bottom="0.39370078740157483" header="0.23622047244094491" footer="0.15748031496062992"/>
  <pageSetup paperSize="9" firstPageNumber="70" orientation="portrait" useFirstPageNumber="1" r:id="rId1"/>
  <headerFooter alignWithMargins="0">
    <oddFooter>&amp;C-&amp;P -</oddFooter>
  </headerFooter>
  <rowBreaks count="1" manualBreakCount="1">
    <brk id="42" max="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2" zoomScaleNormal="130" workbookViewId="0">
      <selection activeCell="C17" sqref="C17:C20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3.83203125" style="162" customWidth="1"/>
    <col min="4" max="4" width="19.83203125" style="162" customWidth="1"/>
    <col min="5" max="5" width="13.83203125" style="162" hidden="1" customWidth="1"/>
    <col min="6" max="6" width="12" style="162" hidden="1" customWidth="1"/>
    <col min="7" max="7" width="19.5" style="162" hidden="1" customWidth="1"/>
    <col min="8" max="16384" width="9.33203125" style="162"/>
  </cols>
  <sheetData>
    <row r="1" spans="1:7" s="536" customFormat="1" ht="15" customHeight="1" x14ac:dyDescent="0.2">
      <c r="A1" s="446"/>
      <c r="B1" s="447"/>
      <c r="C1" s="448"/>
      <c r="D1" s="1609" t="s">
        <v>1610</v>
      </c>
      <c r="E1" s="1609"/>
      <c r="F1" s="1609"/>
      <c r="G1" s="1609"/>
    </row>
    <row r="2" spans="1:7" s="537" customFormat="1" ht="30" customHeight="1" x14ac:dyDescent="0.2">
      <c r="A2" s="1573" t="s">
        <v>796</v>
      </c>
      <c r="B2" s="1573"/>
      <c r="C2" s="163" t="s">
        <v>867</v>
      </c>
      <c r="D2" s="1615" t="s">
        <v>1481</v>
      </c>
      <c r="E2" s="469"/>
      <c r="F2" s="469"/>
      <c r="G2" s="469"/>
    </row>
    <row r="3" spans="1:7" s="537" customFormat="1" ht="30" customHeight="1" x14ac:dyDescent="0.2">
      <c r="A3" s="1573" t="s">
        <v>264</v>
      </c>
      <c r="B3" s="1573"/>
      <c r="C3" s="166" t="s">
        <v>868</v>
      </c>
      <c r="D3" s="1616"/>
      <c r="E3" s="450"/>
      <c r="F3" s="450"/>
      <c r="G3" s="450"/>
    </row>
    <row r="4" spans="1:7" s="537" customFormat="1" ht="15" customHeight="1" x14ac:dyDescent="0.25">
      <c r="A4" s="167"/>
      <c r="B4" s="167"/>
      <c r="C4" s="167"/>
      <c r="D4" s="1590" t="s">
        <v>1482</v>
      </c>
      <c r="E4" s="1590"/>
      <c r="F4" s="1590"/>
      <c r="G4" s="168" t="s">
        <v>196</v>
      </c>
    </row>
    <row r="5" spans="1:7" s="187" customFormat="1" ht="39.7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538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538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/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>
        <v>0</v>
      </c>
      <c r="E9" s="257">
        <v>0</v>
      </c>
      <c r="F9" s="257">
        <v>0</v>
      </c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>
        <v>0</v>
      </c>
      <c r="E10" s="255">
        <v>0</v>
      </c>
      <c r="F10" s="255">
        <v>0</v>
      </c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>
        <v>0</v>
      </c>
      <c r="E11" s="255">
        <v>0</v>
      </c>
      <c r="F11" s="255">
        <v>0</v>
      </c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>
        <v>0</v>
      </c>
      <c r="E12" s="255">
        <v>0</v>
      </c>
      <c r="F12" s="255">
        <v>0</v>
      </c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>
        <v>0</v>
      </c>
      <c r="E13" s="255">
        <v>0</v>
      </c>
      <c r="F13" s="255">
        <v>0</v>
      </c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>
        <v>0</v>
      </c>
      <c r="E14" s="256">
        <v>0</v>
      </c>
      <c r="F14" s="256">
        <v>0</v>
      </c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>
        <v>0</v>
      </c>
      <c r="E15" s="255">
        <v>0</v>
      </c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>
        <v>0</v>
      </c>
      <c r="E16" s="258">
        <v>0</v>
      </c>
      <c r="F16" s="258">
        <v>0</v>
      </c>
      <c r="G16" s="258"/>
    </row>
    <row r="17" spans="1:9" s="183" customFormat="1" ht="15" customHeight="1" x14ac:dyDescent="0.2">
      <c r="A17" s="180" t="s">
        <v>6</v>
      </c>
      <c r="B17" s="181"/>
      <c r="C17" s="222" t="s">
        <v>1963</v>
      </c>
      <c r="D17" s="254">
        <f>SUM(D18:D22)-D19</f>
        <v>53245</v>
      </c>
      <c r="E17" s="254">
        <f>SUM(E18:E22)-E19</f>
        <v>0</v>
      </c>
      <c r="F17" s="254">
        <f>SUM(F18:F22)-F19</f>
        <v>0</v>
      </c>
      <c r="G17" s="254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1964</v>
      </c>
      <c r="D18" s="255">
        <v>53245</v>
      </c>
      <c r="E18" s="255"/>
      <c r="F18" s="255"/>
      <c r="G18" s="255"/>
    </row>
    <row r="19" spans="1:9" s="187" customFormat="1" ht="15" hidden="1" customHeight="1" x14ac:dyDescent="0.2">
      <c r="A19" s="184"/>
      <c r="B19" s="185"/>
      <c r="C19" s="526"/>
      <c r="D19" s="255"/>
      <c r="E19" s="255"/>
      <c r="F19" s="255"/>
      <c r="G19" s="255"/>
    </row>
    <row r="20" spans="1:9" s="187" customFormat="1" ht="15" customHeight="1" x14ac:dyDescent="0.2">
      <c r="A20" s="184"/>
      <c r="B20" s="185" t="s">
        <v>9</v>
      </c>
      <c r="C20" s="15" t="s">
        <v>1965</v>
      </c>
      <c r="D20" s="255">
        <v>0</v>
      </c>
      <c r="E20" s="255">
        <v>0</v>
      </c>
      <c r="F20" s="255">
        <v>0</v>
      </c>
      <c r="G20" s="255"/>
    </row>
    <row r="21" spans="1:9" s="187" customFormat="1" ht="15" customHeight="1" x14ac:dyDescent="0.2">
      <c r="A21" s="184"/>
      <c r="B21" s="185" t="s">
        <v>11</v>
      </c>
      <c r="C21" s="15" t="s">
        <v>802</v>
      </c>
      <c r="D21" s="255">
        <v>0</v>
      </c>
      <c r="E21" s="255">
        <v>0</v>
      </c>
      <c r="F21" s="255">
        <v>0</v>
      </c>
      <c r="G21" s="255"/>
    </row>
    <row r="22" spans="1:9" s="187" customFormat="1" ht="15" customHeight="1" x14ac:dyDescent="0.2">
      <c r="A22" s="184"/>
      <c r="B22" s="185" t="s">
        <v>13</v>
      </c>
      <c r="C22" s="15" t="s">
        <v>803</v>
      </c>
      <c r="D22" s="255">
        <v>0</v>
      </c>
      <c r="E22" s="255">
        <v>0</v>
      </c>
      <c r="F22" s="255">
        <v>0</v>
      </c>
      <c r="G22" s="255"/>
    </row>
    <row r="23" spans="1:9" s="187" customFormat="1" ht="15" customHeight="1" x14ac:dyDescent="0.2">
      <c r="A23" s="180" t="s">
        <v>20</v>
      </c>
      <c r="B23" s="12"/>
      <c r="C23" s="12" t="s">
        <v>804</v>
      </c>
      <c r="D23" s="220">
        <v>0</v>
      </c>
      <c r="E23" s="220">
        <v>0</v>
      </c>
      <c r="F23" s="220">
        <v>0</v>
      </c>
      <c r="G23" s="220"/>
    </row>
    <row r="24" spans="1:9" s="183" customFormat="1" ht="15" customHeight="1" x14ac:dyDescent="0.2">
      <c r="A24" s="180" t="s">
        <v>150</v>
      </c>
      <c r="B24" s="181"/>
      <c r="C24" s="12" t="s">
        <v>846</v>
      </c>
      <c r="D24" s="220">
        <v>0</v>
      </c>
      <c r="E24" s="220">
        <v>0</v>
      </c>
      <c r="F24" s="220">
        <v>0</v>
      </c>
      <c r="G24" s="220"/>
    </row>
    <row r="25" spans="1:9" s="183" customFormat="1" ht="15" customHeight="1" x14ac:dyDescent="0.2">
      <c r="A25" s="180" t="s">
        <v>39</v>
      </c>
      <c r="B25" s="209"/>
      <c r="C25" s="12" t="s">
        <v>847</v>
      </c>
      <c r="D25" s="266">
        <f>+D26+D27</f>
        <v>0</v>
      </c>
      <c r="E25" s="266">
        <f>+E26+E27</f>
        <v>0</v>
      </c>
      <c r="F25" s="266">
        <f>+F26+F27</f>
        <v>0</v>
      </c>
      <c r="G25" s="266"/>
    </row>
    <row r="26" spans="1:9" s="183" customFormat="1" ht="15" customHeight="1" x14ac:dyDescent="0.2">
      <c r="A26" s="192"/>
      <c r="B26" s="199" t="s">
        <v>40</v>
      </c>
      <c r="C26" s="19" t="s">
        <v>808</v>
      </c>
      <c r="D26" s="267">
        <v>0</v>
      </c>
      <c r="E26" s="267">
        <v>0</v>
      </c>
      <c r="F26" s="267">
        <v>0</v>
      </c>
      <c r="G26" s="267"/>
    </row>
    <row r="27" spans="1:9" s="183" customFormat="1" ht="15" customHeight="1" x14ac:dyDescent="0.2">
      <c r="A27" s="202"/>
      <c r="B27" s="203" t="s">
        <v>41</v>
      </c>
      <c r="C27" s="24" t="s">
        <v>809</v>
      </c>
      <c r="D27" s="261">
        <v>0</v>
      </c>
      <c r="E27" s="261">
        <v>0</v>
      </c>
      <c r="F27" s="261">
        <v>0</v>
      </c>
      <c r="G27" s="261"/>
    </row>
    <row r="28" spans="1:9" s="187" customFormat="1" ht="15" customHeight="1" x14ac:dyDescent="0.25">
      <c r="A28" s="212" t="s">
        <v>49</v>
      </c>
      <c r="B28" s="213"/>
      <c r="C28" s="12" t="s">
        <v>848</v>
      </c>
      <c r="D28" s="220">
        <v>4766</v>
      </c>
      <c r="E28" s="220"/>
      <c r="F28" s="220"/>
      <c r="G28" s="220"/>
      <c r="I28" s="201">
        <f>SUM(D33-D30)</f>
        <v>0</v>
      </c>
    </row>
    <row r="29" spans="1:9" s="187" customFormat="1" ht="15" customHeight="1" x14ac:dyDescent="0.25">
      <c r="A29" s="212"/>
      <c r="B29" s="213"/>
      <c r="C29" s="12" t="s">
        <v>849</v>
      </c>
      <c r="D29" s="220"/>
      <c r="E29" s="220"/>
      <c r="F29" s="220"/>
      <c r="G29" s="220"/>
    </row>
    <row r="30" spans="1:9" s="187" customFormat="1" ht="15" customHeight="1" x14ac:dyDescent="0.2">
      <c r="A30" s="268" t="s">
        <v>179</v>
      </c>
      <c r="B30" s="269"/>
      <c r="C30" s="480" t="s">
        <v>850</v>
      </c>
      <c r="D30" s="270">
        <f>SUM(D8,D17,D23,D24,D25,D28)</f>
        <v>58011</v>
      </c>
      <c r="E30" s="270">
        <f>SUM(E8,E17,E23,E24,E25,E28,E29)</f>
        <v>0</v>
      </c>
      <c r="F30" s="270">
        <f>SUM(F8,F17,F23,F24,F25,F28,F29)</f>
        <v>0</v>
      </c>
      <c r="G30" s="270" t="e">
        <f>F30/E30*100</f>
        <v>#DIV/0!</v>
      </c>
      <c r="I30" s="201"/>
    </row>
    <row r="31" spans="1:9" s="187" customFormat="1" ht="15" customHeight="1" x14ac:dyDescent="0.2">
      <c r="A31" s="242"/>
      <c r="B31" s="243"/>
      <c r="C31" s="243"/>
      <c r="D31" s="516"/>
      <c r="E31" s="516"/>
      <c r="F31" s="516"/>
      <c r="G31" s="516"/>
    </row>
    <row r="32" spans="1:9" s="538" customFormat="1" ht="15" customHeight="1" x14ac:dyDescent="0.2">
      <c r="A32" s="268"/>
      <c r="B32" s="269"/>
      <c r="C32" s="513" t="s">
        <v>199</v>
      </c>
      <c r="D32" s="270"/>
      <c r="E32" s="270"/>
      <c r="F32" s="270"/>
      <c r="G32" s="270"/>
    </row>
    <row r="33" spans="1:7" s="183" customFormat="1" ht="15" customHeight="1" x14ac:dyDescent="0.2">
      <c r="A33" s="180" t="s">
        <v>5</v>
      </c>
      <c r="B33" s="12"/>
      <c r="C33" s="67" t="s">
        <v>102</v>
      </c>
      <c r="D33" s="254">
        <f>SUM(D34+D36+D38)</f>
        <v>58011</v>
      </c>
      <c r="E33" s="254">
        <f>SUM(E34+E36+E38)</f>
        <v>0</v>
      </c>
      <c r="F33" s="254">
        <f>SUM(F34+F36+F38)</f>
        <v>0</v>
      </c>
      <c r="G33" s="254" t="e">
        <f>F33/E33*100</f>
        <v>#DIV/0!</v>
      </c>
    </row>
    <row r="34" spans="1:7" s="187" customFormat="1" ht="15" customHeight="1" x14ac:dyDescent="0.2">
      <c r="A34" s="204"/>
      <c r="B34" s="231" t="s">
        <v>103</v>
      </c>
      <c r="C34" s="27" t="s">
        <v>104</v>
      </c>
      <c r="D34" s="262">
        <v>39072</v>
      </c>
      <c r="E34" s="262"/>
      <c r="F34" s="262"/>
      <c r="G34" s="262"/>
    </row>
    <row r="35" spans="1:7" s="187" customFormat="1" ht="15" customHeight="1" x14ac:dyDescent="0.2">
      <c r="A35" s="204"/>
      <c r="B35" s="231"/>
      <c r="C35" s="526" t="s">
        <v>841</v>
      </c>
      <c r="D35" s="532"/>
      <c r="E35" s="532"/>
      <c r="F35" s="532"/>
      <c r="G35" s="532"/>
    </row>
    <row r="36" spans="1:7" s="187" customFormat="1" ht="15" customHeight="1" x14ac:dyDescent="0.2">
      <c r="A36" s="184"/>
      <c r="B36" s="200" t="s">
        <v>105</v>
      </c>
      <c r="C36" s="15" t="s">
        <v>106</v>
      </c>
      <c r="D36" s="255">
        <v>10526</v>
      </c>
      <c r="E36" s="255"/>
      <c r="F36" s="255"/>
      <c r="G36" s="255"/>
    </row>
    <row r="37" spans="1:7" s="187" customFormat="1" ht="15" customHeight="1" x14ac:dyDescent="0.2">
      <c r="A37" s="184"/>
      <c r="B37" s="200"/>
      <c r="C37" s="526" t="s">
        <v>841</v>
      </c>
      <c r="D37" s="532"/>
      <c r="E37" s="532"/>
      <c r="F37" s="532"/>
      <c r="G37" s="532"/>
    </row>
    <row r="38" spans="1:7" s="187" customFormat="1" ht="15" customHeight="1" x14ac:dyDescent="0.2">
      <c r="A38" s="184"/>
      <c r="B38" s="200" t="s">
        <v>107</v>
      </c>
      <c r="C38" s="15" t="s">
        <v>108</v>
      </c>
      <c r="D38" s="255">
        <v>8413</v>
      </c>
      <c r="E38" s="255"/>
      <c r="F38" s="255"/>
      <c r="G38" s="255"/>
    </row>
    <row r="39" spans="1:7" s="187" customFormat="1" ht="15" customHeight="1" x14ac:dyDescent="0.2">
      <c r="A39" s="184"/>
      <c r="B39" s="200"/>
      <c r="C39" s="526" t="s">
        <v>841</v>
      </c>
      <c r="D39" s="532"/>
      <c r="E39" s="532"/>
      <c r="F39" s="532"/>
      <c r="G39" s="532"/>
    </row>
    <row r="40" spans="1:7" s="187" customFormat="1" ht="15" customHeight="1" x14ac:dyDescent="0.2">
      <c r="A40" s="184"/>
      <c r="B40" s="200" t="s">
        <v>109</v>
      </c>
      <c r="C40" s="15" t="s">
        <v>110</v>
      </c>
      <c r="D40" s="255"/>
      <c r="E40" s="255"/>
      <c r="F40" s="255"/>
      <c r="G40" s="255"/>
    </row>
    <row r="41" spans="1:7" s="187" customFormat="1" ht="15" customHeight="1" x14ac:dyDescent="0.2">
      <c r="A41" s="184"/>
      <c r="B41" s="200" t="s">
        <v>111</v>
      </c>
      <c r="C41" s="15" t="s">
        <v>112</v>
      </c>
      <c r="D41" s="255">
        <v>0</v>
      </c>
      <c r="E41" s="255">
        <v>0</v>
      </c>
      <c r="F41" s="255">
        <v>0</v>
      </c>
      <c r="G41" s="255"/>
    </row>
    <row r="42" spans="1:7" s="187" customFormat="1" ht="15" customHeight="1" x14ac:dyDescent="0.2">
      <c r="A42" s="180" t="s">
        <v>6</v>
      </c>
      <c r="B42" s="12"/>
      <c r="C42" s="67" t="s">
        <v>823</v>
      </c>
      <c r="D42" s="254">
        <f>SUM(D43:D46)</f>
        <v>0</v>
      </c>
      <c r="E42" s="254">
        <f>SUM(E43:E46)</f>
        <v>0</v>
      </c>
      <c r="F42" s="254">
        <f>SUM(F43:F46)</f>
        <v>0</v>
      </c>
      <c r="G42" s="254" t="e">
        <f>F42/E42*100</f>
        <v>#DIV/0!</v>
      </c>
    </row>
    <row r="43" spans="1:7" s="183" customFormat="1" ht="15" customHeight="1" x14ac:dyDescent="0.2">
      <c r="A43" s="204"/>
      <c r="B43" s="231" t="s">
        <v>7</v>
      </c>
      <c r="C43" s="27" t="s">
        <v>816</v>
      </c>
      <c r="D43" s="262">
        <v>0</v>
      </c>
      <c r="E43" s="262"/>
      <c r="F43" s="262"/>
      <c r="G43" s="262"/>
    </row>
    <row r="44" spans="1:7" s="187" customFormat="1" ht="15" customHeight="1" x14ac:dyDescent="0.2">
      <c r="A44" s="184"/>
      <c r="B44" s="200" t="s">
        <v>9</v>
      </c>
      <c r="C44" s="15" t="s">
        <v>135</v>
      </c>
      <c r="D44" s="255">
        <v>0</v>
      </c>
      <c r="E44" s="255">
        <v>0</v>
      </c>
      <c r="F44" s="255">
        <v>0</v>
      </c>
      <c r="G44" s="255"/>
    </row>
    <row r="45" spans="1:7" s="187" customFormat="1" ht="30" customHeight="1" x14ac:dyDescent="0.2">
      <c r="A45" s="184"/>
      <c r="B45" s="200" t="s">
        <v>15</v>
      </c>
      <c r="C45" s="15" t="s">
        <v>138</v>
      </c>
      <c r="D45" s="255">
        <v>0</v>
      </c>
      <c r="E45" s="255">
        <v>0</v>
      </c>
      <c r="F45" s="255">
        <v>0</v>
      </c>
      <c r="G45" s="255"/>
    </row>
    <row r="46" spans="1:7" s="187" customFormat="1" ht="15" customHeight="1" x14ac:dyDescent="0.2">
      <c r="A46" s="184"/>
      <c r="B46" s="200" t="s">
        <v>19</v>
      </c>
      <c r="C46" s="15" t="s">
        <v>817</v>
      </c>
      <c r="D46" s="255">
        <v>0</v>
      </c>
      <c r="E46" s="255">
        <v>0</v>
      </c>
      <c r="F46" s="255">
        <v>0</v>
      </c>
      <c r="G46" s="255"/>
    </row>
    <row r="47" spans="1:7" s="187" customFormat="1" ht="15" customHeight="1" x14ac:dyDescent="0.2">
      <c r="A47" s="180" t="s">
        <v>20</v>
      </c>
      <c r="B47" s="12"/>
      <c r="C47" s="67" t="s">
        <v>818</v>
      </c>
      <c r="D47" s="220">
        <v>0</v>
      </c>
      <c r="E47" s="220">
        <v>0</v>
      </c>
      <c r="F47" s="220">
        <v>0</v>
      </c>
      <c r="G47" s="220"/>
    </row>
    <row r="48" spans="1:7" s="187" customFormat="1" ht="15" customHeight="1" x14ac:dyDescent="0.2">
      <c r="A48" s="180"/>
      <c r="B48" s="12"/>
      <c r="C48" s="67" t="s">
        <v>819</v>
      </c>
      <c r="D48" s="220"/>
      <c r="E48" s="220"/>
      <c r="F48" s="220"/>
      <c r="G48" s="220"/>
    </row>
    <row r="49" spans="1:7" s="187" customFormat="1" ht="15" customHeight="1" x14ac:dyDescent="0.2">
      <c r="A49" s="268" t="s">
        <v>150</v>
      </c>
      <c r="B49" s="269"/>
      <c r="C49" s="480" t="s">
        <v>820</v>
      </c>
      <c r="D49" s="270">
        <f>+D33+D42+D47</f>
        <v>58011</v>
      </c>
      <c r="E49" s="270">
        <f>+E33+E42+E47+E48</f>
        <v>0</v>
      </c>
      <c r="F49" s="270">
        <f>+F33+F42+F47+F48</f>
        <v>0</v>
      </c>
      <c r="G49" s="270" t="e">
        <f>F49/E49*100</f>
        <v>#DIV/0!</v>
      </c>
    </row>
    <row r="50" spans="1:7" s="187" customFormat="1" ht="15" customHeight="1" x14ac:dyDescent="0.2">
      <c r="A50" s="530"/>
      <c r="B50" s="462"/>
      <c r="C50" s="481" t="s">
        <v>851</v>
      </c>
      <c r="D50" s="514">
        <f>SUM(D35+D37+D39)</f>
        <v>0</v>
      </c>
      <c r="E50" s="514">
        <f>SUM(E35+E37+E39)</f>
        <v>0</v>
      </c>
      <c r="F50" s="514">
        <f>SUM(F35+F37+F39)</f>
        <v>0</v>
      </c>
      <c r="G50" s="514" t="e">
        <f>F50/E50*100</f>
        <v>#DIV/0!</v>
      </c>
    </row>
    <row r="51" spans="1:7" s="187" customFormat="1" ht="15" customHeight="1" x14ac:dyDescent="0.2">
      <c r="A51" s="244" t="s">
        <v>297</v>
      </c>
      <c r="B51" s="245"/>
      <c r="C51" s="246"/>
      <c r="D51" s="482">
        <v>18</v>
      </c>
      <c r="E51" s="482"/>
      <c r="F51" s="482"/>
      <c r="G51" s="482"/>
    </row>
    <row r="52" spans="1:7" s="187" customFormat="1" ht="15" customHeight="1" x14ac:dyDescent="0.2">
      <c r="A52" s="244" t="s">
        <v>298</v>
      </c>
      <c r="B52" s="245"/>
      <c r="C52" s="246"/>
      <c r="D52" s="482"/>
      <c r="E52" s="482"/>
      <c r="F52" s="482"/>
      <c r="G52" s="482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27559055118110237" right="0.27559055118110237" top="0.31496062992125984" bottom="0.19685039370078741" header="0.51181102362204722" footer="0.15748031496062992"/>
  <pageSetup paperSize="9" scale="95" firstPageNumber="72" orientation="portrait" useFirstPageNumber="1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10" zoomScaleNormal="130" workbookViewId="0">
      <selection activeCell="C17" sqref="C17:C20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6.1640625" style="162" customWidth="1"/>
    <col min="4" max="4" width="18" style="162" customWidth="1"/>
    <col min="5" max="5" width="13.83203125" style="162" hidden="1" customWidth="1"/>
    <col min="6" max="6" width="12" style="162" hidden="1" customWidth="1"/>
    <col min="7" max="7" width="19.5" style="162" hidden="1" customWidth="1"/>
    <col min="8" max="16384" width="9.33203125" style="162"/>
  </cols>
  <sheetData>
    <row r="1" spans="1:7" s="536" customFormat="1" ht="15" customHeight="1" x14ac:dyDescent="0.2">
      <c r="A1" s="446"/>
      <c r="B1" s="447"/>
      <c r="C1" s="448"/>
      <c r="D1" s="1609" t="s">
        <v>855</v>
      </c>
      <c r="E1" s="1609"/>
      <c r="F1" s="1609"/>
      <c r="G1" s="1609"/>
    </row>
    <row r="2" spans="1:7" s="537" customFormat="1" ht="30" customHeight="1" x14ac:dyDescent="0.2">
      <c r="A2" s="1573" t="s">
        <v>796</v>
      </c>
      <c r="B2" s="1573"/>
      <c r="C2" s="163" t="s">
        <v>870</v>
      </c>
      <c r="D2" s="1615" t="s">
        <v>1481</v>
      </c>
      <c r="E2" s="469"/>
      <c r="F2" s="469"/>
      <c r="G2" s="469"/>
    </row>
    <row r="3" spans="1:7" s="537" customFormat="1" ht="29.25" customHeight="1" x14ac:dyDescent="0.2">
      <c r="A3" s="1573" t="s">
        <v>264</v>
      </c>
      <c r="B3" s="1573"/>
      <c r="C3" s="166" t="s">
        <v>868</v>
      </c>
      <c r="D3" s="1616"/>
      <c r="E3" s="450"/>
      <c r="F3" s="450"/>
      <c r="G3" s="450"/>
    </row>
    <row r="4" spans="1:7" s="537" customFormat="1" ht="15" customHeight="1" x14ac:dyDescent="0.25">
      <c r="A4" s="167"/>
      <c r="B4" s="167"/>
      <c r="C4" s="167"/>
      <c r="D4" s="1590" t="s">
        <v>1482</v>
      </c>
      <c r="E4" s="1590"/>
      <c r="F4" s="1590"/>
      <c r="G4" s="168" t="s">
        <v>196</v>
      </c>
    </row>
    <row r="5" spans="1:7" s="187" customFormat="1" ht="35.2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538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538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/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>
        <v>0</v>
      </c>
      <c r="E9" s="257">
        <v>0</v>
      </c>
      <c r="F9" s="257">
        <v>0</v>
      </c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>
        <v>0</v>
      </c>
      <c r="E10" s="255">
        <v>0</v>
      </c>
      <c r="F10" s="255">
        <v>0</v>
      </c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>
        <v>0</v>
      </c>
      <c r="E11" s="255">
        <v>0</v>
      </c>
      <c r="F11" s="255">
        <v>0</v>
      </c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>
        <v>0</v>
      </c>
      <c r="E12" s="255">
        <v>0</v>
      </c>
      <c r="F12" s="255">
        <v>0</v>
      </c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>
        <v>0</v>
      </c>
      <c r="E13" s="255">
        <v>0</v>
      </c>
      <c r="F13" s="255">
        <v>0</v>
      </c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>
        <v>0</v>
      </c>
      <c r="E14" s="256">
        <v>0</v>
      </c>
      <c r="F14" s="256">
        <v>0</v>
      </c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>
        <v>0</v>
      </c>
      <c r="E15" s="255">
        <v>0</v>
      </c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>
        <v>0</v>
      </c>
      <c r="E16" s="258">
        <v>0</v>
      </c>
      <c r="F16" s="258">
        <v>0</v>
      </c>
      <c r="G16" s="258"/>
    </row>
    <row r="17" spans="1:9" s="183" customFormat="1" ht="15" customHeight="1" x14ac:dyDescent="0.2">
      <c r="A17" s="180" t="s">
        <v>6</v>
      </c>
      <c r="B17" s="181"/>
      <c r="C17" s="222" t="s">
        <v>1963</v>
      </c>
      <c r="D17" s="254">
        <f>SUM(D18:D22)-D19</f>
        <v>38855</v>
      </c>
      <c r="E17" s="254">
        <f>SUM(E18:E22)-E19</f>
        <v>0</v>
      </c>
      <c r="F17" s="254">
        <f>SUM(F18:F22)-F19</f>
        <v>0</v>
      </c>
      <c r="G17" s="254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1964</v>
      </c>
      <c r="D18" s="255">
        <v>38855</v>
      </c>
      <c r="E18" s="255"/>
      <c r="F18" s="255"/>
      <c r="G18" s="255"/>
    </row>
    <row r="19" spans="1:9" s="187" customFormat="1" ht="15" hidden="1" customHeight="1" x14ac:dyDescent="0.2">
      <c r="A19" s="184"/>
      <c r="B19" s="185"/>
      <c r="C19" s="526"/>
      <c r="D19" s="255"/>
      <c r="E19" s="255"/>
      <c r="F19" s="255"/>
      <c r="G19" s="255"/>
    </row>
    <row r="20" spans="1:9" s="187" customFormat="1" ht="15" customHeight="1" x14ac:dyDescent="0.2">
      <c r="A20" s="184"/>
      <c r="B20" s="185" t="s">
        <v>9</v>
      </c>
      <c r="C20" s="15" t="s">
        <v>1965</v>
      </c>
      <c r="D20" s="255">
        <v>0</v>
      </c>
      <c r="E20" s="255">
        <v>0</v>
      </c>
      <c r="F20" s="255">
        <v>0</v>
      </c>
      <c r="G20" s="255"/>
    </row>
    <row r="21" spans="1:9" s="187" customFormat="1" ht="15" customHeight="1" x14ac:dyDescent="0.2">
      <c r="A21" s="184"/>
      <c r="B21" s="185" t="s">
        <v>11</v>
      </c>
      <c r="C21" s="15" t="s">
        <v>802</v>
      </c>
      <c r="D21" s="255">
        <v>0</v>
      </c>
      <c r="E21" s="255">
        <v>0</v>
      </c>
      <c r="F21" s="255">
        <v>0</v>
      </c>
      <c r="G21" s="255"/>
    </row>
    <row r="22" spans="1:9" s="187" customFormat="1" ht="15" customHeight="1" x14ac:dyDescent="0.2">
      <c r="A22" s="184"/>
      <c r="B22" s="185" t="s">
        <v>13</v>
      </c>
      <c r="C22" s="15" t="s">
        <v>803</v>
      </c>
      <c r="D22" s="255">
        <v>0</v>
      </c>
      <c r="E22" s="255">
        <v>0</v>
      </c>
      <c r="F22" s="255">
        <v>0</v>
      </c>
      <c r="G22" s="255"/>
    </row>
    <row r="23" spans="1:9" s="187" customFormat="1" ht="15" customHeight="1" x14ac:dyDescent="0.2">
      <c r="A23" s="180" t="s">
        <v>20</v>
      </c>
      <c r="B23" s="12"/>
      <c r="C23" s="12" t="s">
        <v>804</v>
      </c>
      <c r="D23" s="220">
        <v>0</v>
      </c>
      <c r="E23" s="220">
        <v>0</v>
      </c>
      <c r="F23" s="220">
        <v>0</v>
      </c>
      <c r="G23" s="220"/>
    </row>
    <row r="24" spans="1:9" s="183" customFormat="1" ht="15" customHeight="1" x14ac:dyDescent="0.2">
      <c r="A24" s="180" t="s">
        <v>150</v>
      </c>
      <c r="B24" s="181"/>
      <c r="C24" s="12" t="s">
        <v>846</v>
      </c>
      <c r="D24" s="220">
        <v>0</v>
      </c>
      <c r="E24" s="220">
        <v>0</v>
      </c>
      <c r="F24" s="220">
        <v>0</v>
      </c>
      <c r="G24" s="220"/>
    </row>
    <row r="25" spans="1:9" s="183" customFormat="1" ht="15" customHeight="1" x14ac:dyDescent="0.2">
      <c r="A25" s="180" t="s">
        <v>39</v>
      </c>
      <c r="B25" s="209"/>
      <c r="C25" s="12" t="s">
        <v>847</v>
      </c>
      <c r="D25" s="266">
        <v>0</v>
      </c>
      <c r="E25" s="266">
        <v>0</v>
      </c>
      <c r="F25" s="266">
        <v>0</v>
      </c>
      <c r="G25" s="266"/>
    </row>
    <row r="26" spans="1:9" s="183" customFormat="1" ht="15" customHeight="1" x14ac:dyDescent="0.2">
      <c r="A26" s="192"/>
      <c r="B26" s="199" t="s">
        <v>40</v>
      </c>
      <c r="C26" s="19" t="s">
        <v>808</v>
      </c>
      <c r="D26" s="267">
        <v>0</v>
      </c>
      <c r="E26" s="267">
        <v>0</v>
      </c>
      <c r="F26" s="267">
        <v>0</v>
      </c>
      <c r="G26" s="267"/>
    </row>
    <row r="27" spans="1:9" s="183" customFormat="1" ht="15" customHeight="1" x14ac:dyDescent="0.2">
      <c r="A27" s="202"/>
      <c r="B27" s="203" t="s">
        <v>41</v>
      </c>
      <c r="C27" s="24" t="s">
        <v>809</v>
      </c>
      <c r="D27" s="261">
        <v>0</v>
      </c>
      <c r="E27" s="261">
        <v>0</v>
      </c>
      <c r="F27" s="261">
        <v>0</v>
      </c>
      <c r="G27" s="261"/>
    </row>
    <row r="28" spans="1:9" s="187" customFormat="1" ht="15" customHeight="1" x14ac:dyDescent="0.25">
      <c r="A28" s="212" t="s">
        <v>49</v>
      </c>
      <c r="B28" s="213"/>
      <c r="C28" s="12" t="s">
        <v>848</v>
      </c>
      <c r="D28" s="220">
        <v>5709</v>
      </c>
      <c r="E28" s="220"/>
      <c r="F28" s="220"/>
      <c r="G28" s="220"/>
      <c r="I28" s="201">
        <f>SUM(D33-D30)</f>
        <v>0</v>
      </c>
    </row>
    <row r="29" spans="1:9" s="187" customFormat="1" ht="15" customHeight="1" x14ac:dyDescent="0.25">
      <c r="A29" s="212"/>
      <c r="B29" s="213"/>
      <c r="C29" s="12" t="s">
        <v>849</v>
      </c>
      <c r="D29" s="220"/>
      <c r="E29" s="220"/>
      <c r="F29" s="220"/>
      <c r="G29" s="220"/>
    </row>
    <row r="30" spans="1:9" s="187" customFormat="1" ht="15" customHeight="1" x14ac:dyDescent="0.2">
      <c r="A30" s="268" t="s">
        <v>179</v>
      </c>
      <c r="B30" s="269"/>
      <c r="C30" s="480" t="s">
        <v>850</v>
      </c>
      <c r="D30" s="270">
        <f>SUM(D8,D17,D23,D24,D25,D28)</f>
        <v>44564</v>
      </c>
      <c r="E30" s="270">
        <f>SUM(E8,E17,E23,E24,E25,E28,E29)</f>
        <v>0</v>
      </c>
      <c r="F30" s="270">
        <f>SUM(F8,F17,F23,F24,F25,F28,F29)</f>
        <v>0</v>
      </c>
      <c r="G30" s="270" t="e">
        <f>F30/E30*100</f>
        <v>#DIV/0!</v>
      </c>
      <c r="I30" s="201"/>
    </row>
    <row r="31" spans="1:9" s="187" customFormat="1" ht="9.75" customHeight="1" x14ac:dyDescent="0.2">
      <c r="A31" s="242"/>
      <c r="B31" s="243"/>
      <c r="C31" s="243"/>
      <c r="D31" s="516"/>
      <c r="E31" s="516"/>
      <c r="F31" s="516"/>
      <c r="G31" s="516"/>
    </row>
    <row r="32" spans="1:9" s="538" customFormat="1" ht="15" customHeight="1" x14ac:dyDescent="0.2">
      <c r="A32" s="268"/>
      <c r="B32" s="269"/>
      <c r="C32" s="513" t="s">
        <v>199</v>
      </c>
      <c r="D32" s="270"/>
      <c r="E32" s="270"/>
      <c r="F32" s="270"/>
      <c r="G32" s="270"/>
    </row>
    <row r="33" spans="1:7" s="183" customFormat="1" ht="15" customHeight="1" x14ac:dyDescent="0.2">
      <c r="A33" s="180" t="s">
        <v>5</v>
      </c>
      <c r="B33" s="12"/>
      <c r="C33" s="67" t="s">
        <v>102</v>
      </c>
      <c r="D33" s="254">
        <f>SUM(D34+D36+D38)</f>
        <v>44564</v>
      </c>
      <c r="E33" s="254">
        <f>SUM(E34+E36+E38)</f>
        <v>0</v>
      </c>
      <c r="F33" s="254">
        <f>SUM(F34+F36+F38)</f>
        <v>0</v>
      </c>
      <c r="G33" s="254" t="e">
        <f>F33/E33*100</f>
        <v>#DIV/0!</v>
      </c>
    </row>
    <row r="34" spans="1:7" s="187" customFormat="1" ht="15" customHeight="1" x14ac:dyDescent="0.2">
      <c r="A34" s="204"/>
      <c r="B34" s="231" t="s">
        <v>103</v>
      </c>
      <c r="C34" s="27" t="s">
        <v>104</v>
      </c>
      <c r="D34" s="262">
        <v>29501</v>
      </c>
      <c r="E34" s="262"/>
      <c r="F34" s="262"/>
      <c r="G34" s="262"/>
    </row>
    <row r="35" spans="1:7" s="187" customFormat="1" ht="15" customHeight="1" x14ac:dyDescent="0.2">
      <c r="A35" s="204"/>
      <c r="B35" s="231"/>
      <c r="C35" s="526" t="s">
        <v>841</v>
      </c>
      <c r="D35" s="532"/>
      <c r="E35" s="532"/>
      <c r="F35" s="532"/>
      <c r="G35" s="532"/>
    </row>
    <row r="36" spans="1:7" s="187" customFormat="1" ht="15" customHeight="1" x14ac:dyDescent="0.2">
      <c r="A36" s="184"/>
      <c r="B36" s="200" t="s">
        <v>105</v>
      </c>
      <c r="C36" s="15" t="s">
        <v>106</v>
      </c>
      <c r="D36" s="255">
        <v>7928</v>
      </c>
      <c r="E36" s="255"/>
      <c r="F36" s="255"/>
      <c r="G36" s="255"/>
    </row>
    <row r="37" spans="1:7" s="187" customFormat="1" ht="15" customHeight="1" x14ac:dyDescent="0.2">
      <c r="A37" s="184"/>
      <c r="B37" s="200"/>
      <c r="C37" s="526" t="s">
        <v>841</v>
      </c>
      <c r="D37" s="532"/>
      <c r="E37" s="532"/>
      <c r="F37" s="532"/>
      <c r="G37" s="532"/>
    </row>
    <row r="38" spans="1:7" s="187" customFormat="1" ht="15" customHeight="1" x14ac:dyDescent="0.2">
      <c r="A38" s="184"/>
      <c r="B38" s="200" t="s">
        <v>107</v>
      </c>
      <c r="C38" s="15" t="s">
        <v>108</v>
      </c>
      <c r="D38" s="255">
        <v>7135</v>
      </c>
      <c r="E38" s="255"/>
      <c r="F38" s="255"/>
      <c r="G38" s="255"/>
    </row>
    <row r="39" spans="1:7" s="187" customFormat="1" ht="15" customHeight="1" x14ac:dyDescent="0.2">
      <c r="A39" s="184"/>
      <c r="B39" s="200"/>
      <c r="C39" s="526" t="s">
        <v>841</v>
      </c>
      <c r="D39" s="532"/>
      <c r="E39" s="532"/>
      <c r="F39" s="532"/>
      <c r="G39" s="532"/>
    </row>
    <row r="40" spans="1:7" s="187" customFormat="1" ht="15" customHeight="1" x14ac:dyDescent="0.2">
      <c r="A40" s="184"/>
      <c r="B40" s="200" t="s">
        <v>109</v>
      </c>
      <c r="C40" s="15" t="s">
        <v>110</v>
      </c>
      <c r="D40" s="255"/>
      <c r="E40" s="255"/>
      <c r="F40" s="255"/>
      <c r="G40" s="255"/>
    </row>
    <row r="41" spans="1:7" s="187" customFormat="1" ht="15" customHeight="1" x14ac:dyDescent="0.2">
      <c r="A41" s="184"/>
      <c r="B41" s="200" t="s">
        <v>111</v>
      </c>
      <c r="C41" s="15" t="s">
        <v>112</v>
      </c>
      <c r="D41" s="255">
        <v>0</v>
      </c>
      <c r="E41" s="255">
        <v>0</v>
      </c>
      <c r="F41" s="255">
        <v>0</v>
      </c>
      <c r="G41" s="255"/>
    </row>
    <row r="42" spans="1:7" s="187" customFormat="1" ht="15" customHeight="1" x14ac:dyDescent="0.2">
      <c r="A42" s="180" t="s">
        <v>6</v>
      </c>
      <c r="B42" s="12"/>
      <c r="C42" s="67" t="s">
        <v>823</v>
      </c>
      <c r="D42" s="254">
        <f>SUM(D43:D46)</f>
        <v>0</v>
      </c>
      <c r="E42" s="254">
        <f>SUM(E43:E46)</f>
        <v>0</v>
      </c>
      <c r="F42" s="254">
        <f>SUM(F43:F46)</f>
        <v>0</v>
      </c>
      <c r="G42" s="254"/>
    </row>
    <row r="43" spans="1:7" s="183" customFormat="1" ht="15" customHeight="1" x14ac:dyDescent="0.2">
      <c r="A43" s="204"/>
      <c r="B43" s="231" t="s">
        <v>7</v>
      </c>
      <c r="C43" s="27" t="s">
        <v>816</v>
      </c>
      <c r="D43" s="262">
        <v>0</v>
      </c>
      <c r="E43" s="262">
        <v>0</v>
      </c>
      <c r="F43" s="262">
        <v>0</v>
      </c>
      <c r="G43" s="262"/>
    </row>
    <row r="44" spans="1:7" s="187" customFormat="1" ht="15" customHeight="1" x14ac:dyDescent="0.2">
      <c r="A44" s="184"/>
      <c r="B44" s="200" t="s">
        <v>9</v>
      </c>
      <c r="C44" s="15" t="s">
        <v>135</v>
      </c>
      <c r="D44" s="255">
        <v>0</v>
      </c>
      <c r="E44" s="255">
        <v>0</v>
      </c>
      <c r="F44" s="255">
        <v>0</v>
      </c>
      <c r="G44" s="255"/>
    </row>
    <row r="45" spans="1:7" s="187" customFormat="1" ht="29.25" customHeight="1" x14ac:dyDescent="0.2">
      <c r="A45" s="184"/>
      <c r="B45" s="200" t="s">
        <v>15</v>
      </c>
      <c r="C45" s="15" t="s">
        <v>138</v>
      </c>
      <c r="D45" s="255">
        <v>0</v>
      </c>
      <c r="E45" s="255">
        <v>0</v>
      </c>
      <c r="F45" s="255">
        <v>0</v>
      </c>
      <c r="G45" s="255"/>
    </row>
    <row r="46" spans="1:7" s="187" customFormat="1" ht="15" customHeight="1" x14ac:dyDescent="0.2">
      <c r="A46" s="184"/>
      <c r="B46" s="200" t="s">
        <v>19</v>
      </c>
      <c r="C46" s="15" t="s">
        <v>817</v>
      </c>
      <c r="D46" s="255">
        <v>0</v>
      </c>
      <c r="E46" s="255">
        <v>0</v>
      </c>
      <c r="F46" s="255">
        <v>0</v>
      </c>
      <c r="G46" s="255"/>
    </row>
    <row r="47" spans="1:7" s="187" customFormat="1" ht="15" customHeight="1" x14ac:dyDescent="0.2">
      <c r="A47" s="180" t="s">
        <v>20</v>
      </c>
      <c r="B47" s="12"/>
      <c r="C47" s="67" t="s">
        <v>818</v>
      </c>
      <c r="D47" s="220">
        <v>0</v>
      </c>
      <c r="E47" s="220">
        <v>0</v>
      </c>
      <c r="F47" s="220">
        <v>0</v>
      </c>
      <c r="G47" s="220"/>
    </row>
    <row r="48" spans="1:7" s="187" customFormat="1" ht="15" customHeight="1" x14ac:dyDescent="0.2">
      <c r="A48" s="180"/>
      <c r="B48" s="12"/>
      <c r="C48" s="67" t="s">
        <v>819</v>
      </c>
      <c r="D48" s="220"/>
      <c r="E48" s="220"/>
      <c r="F48" s="220"/>
      <c r="G48" s="220"/>
    </row>
    <row r="49" spans="1:7" s="187" customFormat="1" ht="15" customHeight="1" x14ac:dyDescent="0.2">
      <c r="A49" s="268" t="s">
        <v>150</v>
      </c>
      <c r="B49" s="269"/>
      <c r="C49" s="480" t="s">
        <v>820</v>
      </c>
      <c r="D49" s="270">
        <f>+D33+D42+D47</f>
        <v>44564</v>
      </c>
      <c r="E49" s="270">
        <f>+E33+E42+E47+E48</f>
        <v>0</v>
      </c>
      <c r="F49" s="270">
        <f>+F33+F42+F47+F48</f>
        <v>0</v>
      </c>
      <c r="G49" s="270" t="e">
        <f>F49/E49*100</f>
        <v>#DIV/0!</v>
      </c>
    </row>
    <row r="50" spans="1:7" s="187" customFormat="1" ht="15" customHeight="1" x14ac:dyDescent="0.2">
      <c r="A50" s="530"/>
      <c r="B50" s="462"/>
      <c r="C50" s="481" t="s">
        <v>851</v>
      </c>
      <c r="D50" s="514">
        <f>SUM(D35+D37+D39)</f>
        <v>0</v>
      </c>
      <c r="E50" s="514">
        <f>SUM(E35+E37+E39)</f>
        <v>0</v>
      </c>
      <c r="F50" s="514">
        <f>SUM(F35+F37+F39)</f>
        <v>0</v>
      </c>
      <c r="G50" s="514" t="e">
        <f>F50/E50*100</f>
        <v>#DIV/0!</v>
      </c>
    </row>
    <row r="51" spans="1:7" s="187" customFormat="1" ht="15" customHeight="1" x14ac:dyDescent="0.2">
      <c r="A51" s="244" t="s">
        <v>297</v>
      </c>
      <c r="B51" s="245"/>
      <c r="C51" s="246"/>
      <c r="D51" s="482">
        <v>15</v>
      </c>
      <c r="E51" s="482"/>
      <c r="F51" s="482"/>
      <c r="G51" s="482"/>
    </row>
    <row r="52" spans="1:7" s="187" customFormat="1" ht="15" customHeight="1" x14ac:dyDescent="0.2">
      <c r="A52" s="244" t="s">
        <v>298</v>
      </c>
      <c r="B52" s="245"/>
      <c r="C52" s="246"/>
      <c r="D52" s="482"/>
      <c r="E52" s="482"/>
      <c r="F52" s="482"/>
      <c r="G52" s="482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19685039370078741" right="0.39370078740157483" top="0.23622047244094491" bottom="0.39370078740157483" header="0.51181102362204722" footer="0.15748031496062992"/>
  <pageSetup paperSize="9" scale="95" firstPageNumber="73" orientation="portrait" useFirstPageNumber="1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30" workbookViewId="0">
      <selection activeCell="C17" sqref="C17:C19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3.33203125" style="162" customWidth="1"/>
    <col min="4" max="4" width="17.5" style="162" bestFit="1" customWidth="1"/>
    <col min="5" max="5" width="13.83203125" style="162" hidden="1" customWidth="1"/>
    <col min="6" max="6" width="12" style="162" hidden="1" customWidth="1"/>
    <col min="7" max="7" width="19.5" style="162" hidden="1" customWidth="1"/>
    <col min="8" max="16384" width="9.33203125" style="162"/>
  </cols>
  <sheetData>
    <row r="1" spans="1:7" s="536" customFormat="1" ht="15" customHeight="1" x14ac:dyDescent="0.2">
      <c r="A1" s="446"/>
      <c r="B1" s="447"/>
      <c r="C1" s="448"/>
      <c r="D1" s="1609" t="s">
        <v>1611</v>
      </c>
      <c r="E1" s="1609"/>
      <c r="F1" s="1609"/>
      <c r="G1" s="1609"/>
    </row>
    <row r="2" spans="1:7" s="537" customFormat="1" ht="30" customHeight="1" x14ac:dyDescent="0.2">
      <c r="A2" s="1573" t="s">
        <v>796</v>
      </c>
      <c r="B2" s="1573"/>
      <c r="C2" s="163" t="s">
        <v>871</v>
      </c>
      <c r="D2" s="1615" t="s">
        <v>1481</v>
      </c>
      <c r="E2" s="469"/>
      <c r="F2" s="469"/>
      <c r="G2" s="469"/>
    </row>
    <row r="3" spans="1:7" s="537" customFormat="1" ht="30" customHeight="1" x14ac:dyDescent="0.2">
      <c r="A3" s="1573" t="s">
        <v>264</v>
      </c>
      <c r="B3" s="1573"/>
      <c r="C3" s="166" t="s">
        <v>868</v>
      </c>
      <c r="D3" s="1616"/>
      <c r="E3" s="450"/>
      <c r="F3" s="450"/>
      <c r="G3" s="450"/>
    </row>
    <row r="4" spans="1:7" s="537" customFormat="1" ht="15" customHeight="1" x14ac:dyDescent="0.25">
      <c r="A4" s="167"/>
      <c r="B4" s="167"/>
      <c r="C4" s="167"/>
      <c r="D4" s="1590" t="s">
        <v>1482</v>
      </c>
      <c r="E4" s="1590"/>
      <c r="F4" s="1590"/>
      <c r="G4" s="168" t="s">
        <v>196</v>
      </c>
    </row>
    <row r="5" spans="1:7" s="187" customFormat="1" ht="34.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538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538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/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>
        <v>0</v>
      </c>
      <c r="E9" s="257">
        <v>0</v>
      </c>
      <c r="F9" s="257">
        <v>0</v>
      </c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>
        <v>0</v>
      </c>
      <c r="E10" s="255">
        <v>0</v>
      </c>
      <c r="F10" s="255">
        <v>0</v>
      </c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>
        <v>0</v>
      </c>
      <c r="E11" s="255">
        <v>0</v>
      </c>
      <c r="F11" s="255">
        <v>0</v>
      </c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>
        <v>0</v>
      </c>
      <c r="E12" s="255">
        <v>0</v>
      </c>
      <c r="F12" s="255">
        <v>0</v>
      </c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>
        <v>0</v>
      </c>
      <c r="E13" s="255">
        <v>0</v>
      </c>
      <c r="F13" s="255">
        <v>0</v>
      </c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>
        <v>0</v>
      </c>
      <c r="E14" s="256">
        <v>0</v>
      </c>
      <c r="F14" s="256">
        <v>0</v>
      </c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>
        <v>0</v>
      </c>
      <c r="E15" s="255">
        <v>0</v>
      </c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>
        <v>0</v>
      </c>
      <c r="E16" s="258">
        <v>0</v>
      </c>
      <c r="F16" s="258">
        <v>0</v>
      </c>
      <c r="G16" s="258"/>
    </row>
    <row r="17" spans="1:9" s="183" customFormat="1" ht="15" customHeight="1" x14ac:dyDescent="0.2">
      <c r="A17" s="180" t="s">
        <v>6</v>
      </c>
      <c r="B17" s="181"/>
      <c r="C17" s="222" t="s">
        <v>1963</v>
      </c>
      <c r="D17" s="254">
        <f>SUM(D18:D21)</f>
        <v>68967</v>
      </c>
      <c r="E17" s="254">
        <f>SUM(E18:E21)</f>
        <v>0</v>
      </c>
      <c r="F17" s="254">
        <f>SUM(F18:F21)</f>
        <v>0</v>
      </c>
      <c r="G17" s="254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1964</v>
      </c>
      <c r="D18" s="255">
        <v>68967</v>
      </c>
      <c r="E18" s="255"/>
      <c r="F18" s="255"/>
      <c r="G18" s="255"/>
    </row>
    <row r="19" spans="1:9" s="187" customFormat="1" ht="15" customHeight="1" x14ac:dyDescent="0.2">
      <c r="A19" s="184"/>
      <c r="B19" s="185" t="s">
        <v>9</v>
      </c>
      <c r="C19" s="15" t="s">
        <v>1965</v>
      </c>
      <c r="D19" s="255">
        <v>0</v>
      </c>
      <c r="E19" s="255">
        <v>0</v>
      </c>
      <c r="F19" s="255">
        <v>0</v>
      </c>
      <c r="G19" s="255"/>
    </row>
    <row r="20" spans="1:9" s="187" customFormat="1" ht="15" customHeight="1" x14ac:dyDescent="0.2">
      <c r="A20" s="184"/>
      <c r="B20" s="185" t="s">
        <v>11</v>
      </c>
      <c r="C20" s="15" t="s">
        <v>802</v>
      </c>
      <c r="D20" s="255">
        <v>0</v>
      </c>
      <c r="E20" s="255">
        <v>0</v>
      </c>
      <c r="F20" s="255">
        <v>0</v>
      </c>
      <c r="G20" s="255"/>
    </row>
    <row r="21" spans="1:9" s="187" customFormat="1" ht="15" customHeight="1" x14ac:dyDescent="0.2">
      <c r="A21" s="184"/>
      <c r="B21" s="185" t="s">
        <v>13</v>
      </c>
      <c r="C21" s="15" t="s">
        <v>803</v>
      </c>
      <c r="D21" s="255">
        <v>0</v>
      </c>
      <c r="E21" s="255">
        <v>0</v>
      </c>
      <c r="F21" s="255">
        <v>0</v>
      </c>
      <c r="G21" s="255"/>
    </row>
    <row r="22" spans="1:9" s="187" customFormat="1" ht="15" customHeight="1" x14ac:dyDescent="0.2">
      <c r="A22" s="180" t="s">
        <v>20</v>
      </c>
      <c r="B22" s="12"/>
      <c r="C22" s="12" t="s">
        <v>804</v>
      </c>
      <c r="D22" s="220">
        <v>0</v>
      </c>
      <c r="E22" s="220">
        <v>0</v>
      </c>
      <c r="F22" s="220">
        <v>0</v>
      </c>
      <c r="G22" s="220"/>
    </row>
    <row r="23" spans="1:9" s="183" customFormat="1" ht="15" customHeight="1" x14ac:dyDescent="0.2">
      <c r="A23" s="180" t="s">
        <v>150</v>
      </c>
      <c r="B23" s="181"/>
      <c r="C23" s="12" t="s">
        <v>846</v>
      </c>
      <c r="D23" s="220">
        <v>0</v>
      </c>
      <c r="E23" s="220">
        <v>0</v>
      </c>
      <c r="F23" s="220">
        <v>0</v>
      </c>
      <c r="G23" s="220"/>
    </row>
    <row r="24" spans="1:9" s="183" customFormat="1" ht="15" customHeight="1" x14ac:dyDescent="0.2">
      <c r="A24" s="180" t="s">
        <v>39</v>
      </c>
      <c r="B24" s="209"/>
      <c r="C24" s="12" t="s">
        <v>847</v>
      </c>
      <c r="D24" s="266">
        <f>+D25+D26</f>
        <v>0</v>
      </c>
      <c r="E24" s="266">
        <f>+E25+E26</f>
        <v>0</v>
      </c>
      <c r="F24" s="266">
        <f>+F25+F26</f>
        <v>0</v>
      </c>
      <c r="G24" s="266"/>
    </row>
    <row r="25" spans="1:9" s="183" customFormat="1" ht="15" customHeight="1" x14ac:dyDescent="0.2">
      <c r="A25" s="192"/>
      <c r="B25" s="199" t="s">
        <v>40</v>
      </c>
      <c r="C25" s="19" t="s">
        <v>808</v>
      </c>
      <c r="D25" s="267">
        <v>0</v>
      </c>
      <c r="E25" s="267">
        <v>0</v>
      </c>
      <c r="F25" s="267">
        <v>0</v>
      </c>
      <c r="G25" s="267"/>
    </row>
    <row r="26" spans="1:9" s="183" customFormat="1" ht="15" customHeight="1" x14ac:dyDescent="0.2">
      <c r="A26" s="202"/>
      <c r="B26" s="203" t="s">
        <v>41</v>
      </c>
      <c r="C26" s="24" t="s">
        <v>809</v>
      </c>
      <c r="D26" s="261">
        <v>0</v>
      </c>
      <c r="E26" s="261">
        <v>0</v>
      </c>
      <c r="F26" s="261">
        <v>0</v>
      </c>
      <c r="G26" s="261"/>
    </row>
    <row r="27" spans="1:9" s="187" customFormat="1" ht="15" customHeight="1" x14ac:dyDescent="0.25">
      <c r="A27" s="212" t="s">
        <v>49</v>
      </c>
      <c r="B27" s="213"/>
      <c r="C27" s="12" t="s">
        <v>848</v>
      </c>
      <c r="D27" s="220">
        <v>2651</v>
      </c>
      <c r="E27" s="220"/>
      <c r="F27" s="220"/>
      <c r="G27" s="220"/>
    </row>
    <row r="28" spans="1:9" s="187" customFormat="1" ht="15" customHeight="1" x14ac:dyDescent="0.25">
      <c r="A28" s="212"/>
      <c r="B28" s="213"/>
      <c r="C28" s="12" t="s">
        <v>849</v>
      </c>
      <c r="D28" s="220"/>
      <c r="E28" s="220"/>
      <c r="F28" s="220"/>
      <c r="G28" s="220"/>
    </row>
    <row r="29" spans="1:9" s="187" customFormat="1" ht="15" customHeight="1" x14ac:dyDescent="0.2">
      <c r="A29" s="268" t="s">
        <v>179</v>
      </c>
      <c r="B29" s="269"/>
      <c r="C29" s="480" t="s">
        <v>850</v>
      </c>
      <c r="D29" s="270">
        <f>SUM(D8,D17,D22,D23,D24,D27)</f>
        <v>71618</v>
      </c>
      <c r="E29" s="270">
        <f>SUM(E8,E17,E22,E23,E24,E27,E28)</f>
        <v>0</v>
      </c>
      <c r="F29" s="270">
        <f>SUM(F8,F17,F22,F23,F24,F27,F28)</f>
        <v>0</v>
      </c>
      <c r="G29" s="270" t="e">
        <f>F29/E29*100</f>
        <v>#DIV/0!</v>
      </c>
      <c r="I29" s="536">
        <f>SUM(D45-D29)</f>
        <v>0</v>
      </c>
    </row>
    <row r="30" spans="1:9" s="187" customFormat="1" ht="15" customHeight="1" x14ac:dyDescent="0.2">
      <c r="A30" s="462"/>
      <c r="B30" s="462"/>
      <c r="C30" s="481"/>
      <c r="D30" s="514"/>
      <c r="E30" s="514"/>
      <c r="F30" s="514"/>
      <c r="G30" s="514"/>
    </row>
    <row r="31" spans="1:9" s="538" customFormat="1" ht="15" customHeight="1" x14ac:dyDescent="0.2">
      <c r="A31" s="268"/>
      <c r="B31" s="269"/>
      <c r="C31" s="513" t="s">
        <v>199</v>
      </c>
      <c r="D31" s="270"/>
      <c r="E31" s="270"/>
      <c r="F31" s="270"/>
      <c r="G31" s="270"/>
    </row>
    <row r="32" spans="1:9" s="183" customFormat="1" ht="15" customHeight="1" x14ac:dyDescent="0.2">
      <c r="A32" s="180" t="s">
        <v>5</v>
      </c>
      <c r="B32" s="12"/>
      <c r="C32" s="67" t="s">
        <v>102</v>
      </c>
      <c r="D32" s="254">
        <f>SUM(D33:D37)</f>
        <v>71618</v>
      </c>
      <c r="E32" s="254">
        <f>SUM(E33:E37)</f>
        <v>0</v>
      </c>
      <c r="F32" s="254">
        <f>SUM(F33:F37)</f>
        <v>0</v>
      </c>
      <c r="G32" s="254" t="e">
        <f>F32/E32*100</f>
        <v>#DIV/0!</v>
      </c>
    </row>
    <row r="33" spans="1:7" s="187" customFormat="1" ht="15" customHeight="1" x14ac:dyDescent="0.2">
      <c r="A33" s="204"/>
      <c r="B33" s="231" t="s">
        <v>103</v>
      </c>
      <c r="C33" s="27" t="s">
        <v>104</v>
      </c>
      <c r="D33" s="262">
        <v>48655</v>
      </c>
      <c r="E33" s="262"/>
      <c r="F33" s="262"/>
      <c r="G33" s="262"/>
    </row>
    <row r="34" spans="1:7" s="187" customFormat="1" ht="15" customHeight="1" x14ac:dyDescent="0.2">
      <c r="A34" s="184"/>
      <c r="B34" s="200" t="s">
        <v>105</v>
      </c>
      <c r="C34" s="15" t="s">
        <v>106</v>
      </c>
      <c r="D34" s="255">
        <v>13095</v>
      </c>
      <c r="E34" s="255"/>
      <c r="F34" s="255"/>
      <c r="G34" s="255"/>
    </row>
    <row r="35" spans="1:7" s="187" customFormat="1" ht="15" customHeight="1" x14ac:dyDescent="0.2">
      <c r="A35" s="184"/>
      <c r="B35" s="200" t="s">
        <v>107</v>
      </c>
      <c r="C35" s="15" t="s">
        <v>108</v>
      </c>
      <c r="D35" s="255">
        <v>9868</v>
      </c>
      <c r="E35" s="255"/>
      <c r="F35" s="255"/>
      <c r="G35" s="255"/>
    </row>
    <row r="36" spans="1:7" s="187" customFormat="1" ht="15" customHeight="1" x14ac:dyDescent="0.2">
      <c r="A36" s="184"/>
      <c r="B36" s="200" t="s">
        <v>109</v>
      </c>
      <c r="C36" s="15" t="s">
        <v>110</v>
      </c>
      <c r="D36" s="255"/>
      <c r="E36" s="255"/>
      <c r="F36" s="255"/>
      <c r="G36" s="255"/>
    </row>
    <row r="37" spans="1:7" s="187" customFormat="1" ht="15" customHeight="1" x14ac:dyDescent="0.2">
      <c r="A37" s="184"/>
      <c r="B37" s="200" t="s">
        <v>111</v>
      </c>
      <c r="C37" s="15" t="s">
        <v>112</v>
      </c>
      <c r="D37" s="255"/>
      <c r="E37" s="255"/>
      <c r="F37" s="255"/>
      <c r="G37" s="255"/>
    </row>
    <row r="38" spans="1:7" s="187" customFormat="1" ht="15" customHeight="1" x14ac:dyDescent="0.2">
      <c r="A38" s="180" t="s">
        <v>6</v>
      </c>
      <c r="B38" s="12"/>
      <c r="C38" s="67" t="s">
        <v>823</v>
      </c>
      <c r="D38" s="254"/>
      <c r="E38" s="254"/>
      <c r="F38" s="254"/>
      <c r="G38" s="254"/>
    </row>
    <row r="39" spans="1:7" s="183" customFormat="1" ht="15" customHeight="1" x14ac:dyDescent="0.2">
      <c r="A39" s="204"/>
      <c r="B39" s="231" t="s">
        <v>7</v>
      </c>
      <c r="C39" s="27" t="s">
        <v>816</v>
      </c>
      <c r="D39" s="262"/>
      <c r="E39" s="262"/>
      <c r="F39" s="262"/>
      <c r="G39" s="262"/>
    </row>
    <row r="40" spans="1:7" s="187" customFormat="1" ht="15" customHeight="1" x14ac:dyDescent="0.2">
      <c r="A40" s="184"/>
      <c r="B40" s="200" t="s">
        <v>9</v>
      </c>
      <c r="C40" s="15" t="s">
        <v>135</v>
      </c>
      <c r="D40" s="255">
        <v>0</v>
      </c>
      <c r="E40" s="255">
        <v>0</v>
      </c>
      <c r="F40" s="255">
        <v>0</v>
      </c>
      <c r="G40" s="255"/>
    </row>
    <row r="41" spans="1:7" s="187" customFormat="1" ht="29.25" customHeight="1" x14ac:dyDescent="0.2">
      <c r="A41" s="184"/>
      <c r="B41" s="200" t="s">
        <v>15</v>
      </c>
      <c r="C41" s="15" t="s">
        <v>138</v>
      </c>
      <c r="D41" s="255">
        <v>0</v>
      </c>
      <c r="E41" s="255">
        <v>0</v>
      </c>
      <c r="F41" s="255">
        <v>0</v>
      </c>
      <c r="G41" s="255"/>
    </row>
    <row r="42" spans="1:7" s="187" customFormat="1" ht="15" customHeight="1" x14ac:dyDescent="0.2">
      <c r="A42" s="184"/>
      <c r="B42" s="200" t="s">
        <v>19</v>
      </c>
      <c r="C42" s="15" t="s">
        <v>817</v>
      </c>
      <c r="D42" s="255">
        <v>0</v>
      </c>
      <c r="E42" s="255">
        <v>0</v>
      </c>
      <c r="F42" s="255">
        <v>0</v>
      </c>
      <c r="G42" s="255"/>
    </row>
    <row r="43" spans="1:7" s="187" customFormat="1" ht="15" customHeight="1" x14ac:dyDescent="0.2">
      <c r="A43" s="180" t="s">
        <v>20</v>
      </c>
      <c r="B43" s="12"/>
      <c r="C43" s="67" t="s">
        <v>818</v>
      </c>
      <c r="D43" s="220">
        <v>0</v>
      </c>
      <c r="E43" s="220">
        <v>0</v>
      </c>
      <c r="F43" s="220">
        <v>0</v>
      </c>
      <c r="G43" s="220"/>
    </row>
    <row r="44" spans="1:7" s="187" customFormat="1" ht="15" customHeight="1" x14ac:dyDescent="0.2">
      <c r="A44" s="180"/>
      <c r="B44" s="12"/>
      <c r="C44" s="67" t="s">
        <v>819</v>
      </c>
      <c r="D44" s="220"/>
      <c r="E44" s="220"/>
      <c r="F44" s="220"/>
      <c r="G44" s="220"/>
    </row>
    <row r="45" spans="1:7" s="187" customFormat="1" ht="15" customHeight="1" x14ac:dyDescent="0.2">
      <c r="A45" s="268" t="s">
        <v>150</v>
      </c>
      <c r="B45" s="269"/>
      <c r="C45" s="480" t="s">
        <v>820</v>
      </c>
      <c r="D45" s="270">
        <f>+D32+D38+D43</f>
        <v>71618</v>
      </c>
      <c r="E45" s="270">
        <f>+E32+E38+E43+E44</f>
        <v>0</v>
      </c>
      <c r="F45" s="270">
        <f>+F32+F38+F43+F44</f>
        <v>0</v>
      </c>
      <c r="G45" s="270" t="e">
        <f>F45/E45*100</f>
        <v>#DIV/0!</v>
      </c>
    </row>
    <row r="46" spans="1:7" s="187" customFormat="1" ht="15" customHeight="1" x14ac:dyDescent="0.2">
      <c r="A46" s="242"/>
      <c r="B46" s="243"/>
      <c r="C46" s="243"/>
      <c r="D46" s="243"/>
      <c r="E46" s="243"/>
      <c r="F46" s="243"/>
      <c r="G46" s="243"/>
    </row>
    <row r="47" spans="1:7" s="187" customFormat="1" ht="15" customHeight="1" x14ac:dyDescent="0.2">
      <c r="A47" s="244" t="s">
        <v>297</v>
      </c>
      <c r="B47" s="245"/>
      <c r="C47" s="246"/>
      <c r="D47" s="247">
        <v>24</v>
      </c>
      <c r="E47" s="247"/>
      <c r="F47" s="247"/>
      <c r="G47" s="247"/>
    </row>
    <row r="48" spans="1:7" s="187" customFormat="1" ht="15" customHeight="1" x14ac:dyDescent="0.2">
      <c r="A48" s="244" t="s">
        <v>298</v>
      </c>
      <c r="B48" s="245"/>
      <c r="C48" s="246"/>
      <c r="D48" s="482"/>
      <c r="E48" s="482"/>
      <c r="F48" s="482"/>
      <c r="G48" s="482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47244094488188981" right="0.39370078740157483" top="0.43307086614173229" bottom="0.39370078740157483" header="0.23622047244094491" footer="0.15748031496062992"/>
  <pageSetup paperSize="9" firstPageNumber="74" orientation="portrait" useFirstPageNumber="1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30" workbookViewId="0">
      <selection activeCell="C17" sqref="C17:C19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4" style="162" customWidth="1"/>
    <col min="4" max="4" width="19.83203125" style="162" customWidth="1"/>
    <col min="5" max="6" width="13.6640625" style="162" hidden="1" customWidth="1"/>
    <col min="7" max="7" width="9.6640625" style="162" hidden="1" customWidth="1"/>
    <col min="8" max="16384" width="9.33203125" style="162"/>
  </cols>
  <sheetData>
    <row r="1" spans="1:7" s="536" customFormat="1" ht="15" customHeight="1" x14ac:dyDescent="0.2">
      <c r="A1" s="446"/>
      <c r="B1" s="447"/>
      <c r="C1" s="448"/>
      <c r="D1" s="1609" t="s">
        <v>860</v>
      </c>
      <c r="E1" s="1609"/>
      <c r="F1" s="1609"/>
      <c r="G1" s="1609"/>
    </row>
    <row r="2" spans="1:7" s="537" customFormat="1" ht="30" customHeight="1" x14ac:dyDescent="0.2">
      <c r="A2" s="1573" t="s">
        <v>796</v>
      </c>
      <c r="B2" s="1573"/>
      <c r="C2" s="163" t="s">
        <v>873</v>
      </c>
      <c r="D2" s="1615" t="s">
        <v>1481</v>
      </c>
      <c r="E2" s="469"/>
      <c r="F2" s="469"/>
      <c r="G2" s="469"/>
    </row>
    <row r="3" spans="1:7" s="537" customFormat="1" ht="30" customHeight="1" x14ac:dyDescent="0.2">
      <c r="A3" s="1573" t="s">
        <v>264</v>
      </c>
      <c r="B3" s="1573"/>
      <c r="C3" s="166" t="s">
        <v>868</v>
      </c>
      <c r="D3" s="1616"/>
      <c r="E3" s="450"/>
      <c r="F3" s="450"/>
      <c r="G3" s="450"/>
    </row>
    <row r="4" spans="1:7" s="537" customFormat="1" ht="15" customHeight="1" x14ac:dyDescent="0.25">
      <c r="A4" s="167"/>
      <c r="B4" s="167"/>
      <c r="C4" s="167"/>
      <c r="D4" s="1590" t="s">
        <v>1482</v>
      </c>
      <c r="E4" s="1590"/>
      <c r="F4" s="1590"/>
      <c r="G4" s="168" t="s">
        <v>196</v>
      </c>
    </row>
    <row r="5" spans="1:7" s="187" customFormat="1" ht="41.2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538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538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/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>
        <v>0</v>
      </c>
      <c r="E9" s="257">
        <v>0</v>
      </c>
      <c r="F9" s="257">
        <v>0</v>
      </c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>
        <v>0</v>
      </c>
      <c r="E10" s="255">
        <v>0</v>
      </c>
      <c r="F10" s="255">
        <v>0</v>
      </c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>
        <v>0</v>
      </c>
      <c r="E11" s="255">
        <v>0</v>
      </c>
      <c r="F11" s="255">
        <v>0</v>
      </c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>
        <v>0</v>
      </c>
      <c r="E12" s="255">
        <v>0</v>
      </c>
      <c r="F12" s="255">
        <v>0</v>
      </c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>
        <v>0</v>
      </c>
      <c r="E13" s="255">
        <v>0</v>
      </c>
      <c r="F13" s="255">
        <v>0</v>
      </c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>
        <v>0</v>
      </c>
      <c r="E14" s="256">
        <v>0</v>
      </c>
      <c r="F14" s="256">
        <v>0</v>
      </c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>
        <v>0</v>
      </c>
      <c r="E15" s="255">
        <v>0</v>
      </c>
      <c r="F15" s="255">
        <v>0</v>
      </c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>
        <v>0</v>
      </c>
      <c r="E16" s="258">
        <v>0</v>
      </c>
      <c r="F16" s="258"/>
      <c r="G16" s="258"/>
    </row>
    <row r="17" spans="1:9" s="183" customFormat="1" ht="15" customHeight="1" x14ac:dyDescent="0.2">
      <c r="A17" s="180" t="s">
        <v>6</v>
      </c>
      <c r="B17" s="181"/>
      <c r="C17" s="222" t="s">
        <v>1963</v>
      </c>
      <c r="D17" s="254">
        <f>SUM(D18:D21)</f>
        <v>88468</v>
      </c>
      <c r="E17" s="254">
        <f>SUM(E18:E21)</f>
        <v>0</v>
      </c>
      <c r="F17" s="254">
        <f>SUM(F18:F21)</f>
        <v>0</v>
      </c>
      <c r="G17" s="254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1964</v>
      </c>
      <c r="D18" s="255">
        <v>88468</v>
      </c>
      <c r="E18" s="255"/>
      <c r="F18" s="255"/>
      <c r="G18" s="255" t="e">
        <f>F18/E18*100</f>
        <v>#DIV/0!</v>
      </c>
    </row>
    <row r="19" spans="1:9" s="187" customFormat="1" ht="15" customHeight="1" x14ac:dyDescent="0.2">
      <c r="A19" s="184"/>
      <c r="B19" s="185" t="s">
        <v>9</v>
      </c>
      <c r="C19" s="15" t="s">
        <v>1965</v>
      </c>
      <c r="D19" s="255">
        <v>0</v>
      </c>
      <c r="E19" s="255">
        <v>0</v>
      </c>
      <c r="F19" s="255">
        <v>0</v>
      </c>
      <c r="G19" s="255"/>
    </row>
    <row r="20" spans="1:9" s="187" customFormat="1" ht="15" customHeight="1" x14ac:dyDescent="0.2">
      <c r="A20" s="184"/>
      <c r="B20" s="185" t="s">
        <v>11</v>
      </c>
      <c r="C20" s="15" t="s">
        <v>802</v>
      </c>
      <c r="D20" s="255">
        <v>0</v>
      </c>
      <c r="E20" s="255">
        <v>0</v>
      </c>
      <c r="F20" s="255">
        <v>0</v>
      </c>
      <c r="G20" s="255"/>
    </row>
    <row r="21" spans="1:9" s="187" customFormat="1" ht="15" customHeight="1" x14ac:dyDescent="0.2">
      <c r="A21" s="184"/>
      <c r="B21" s="185" t="s">
        <v>13</v>
      </c>
      <c r="C21" s="15" t="s">
        <v>803</v>
      </c>
      <c r="D21" s="255">
        <v>0</v>
      </c>
      <c r="E21" s="255">
        <v>0</v>
      </c>
      <c r="F21" s="255">
        <v>0</v>
      </c>
      <c r="G21" s="255"/>
    </row>
    <row r="22" spans="1:9" s="187" customFormat="1" ht="15" customHeight="1" x14ac:dyDescent="0.2">
      <c r="A22" s="180" t="s">
        <v>20</v>
      </c>
      <c r="B22" s="12"/>
      <c r="C22" s="12" t="s">
        <v>804</v>
      </c>
      <c r="D22" s="220">
        <v>0</v>
      </c>
      <c r="E22" s="220">
        <v>0</v>
      </c>
      <c r="F22" s="220">
        <v>0</v>
      </c>
      <c r="G22" s="220"/>
    </row>
    <row r="23" spans="1:9" s="183" customFormat="1" ht="15" customHeight="1" x14ac:dyDescent="0.2">
      <c r="A23" s="180" t="s">
        <v>150</v>
      </c>
      <c r="B23" s="181"/>
      <c r="C23" s="12" t="s">
        <v>846</v>
      </c>
      <c r="D23" s="220">
        <v>0</v>
      </c>
      <c r="E23" s="220">
        <v>0</v>
      </c>
      <c r="F23" s="220">
        <v>0</v>
      </c>
      <c r="G23" s="220"/>
    </row>
    <row r="24" spans="1:9" s="183" customFormat="1" ht="15" customHeight="1" x14ac:dyDescent="0.2">
      <c r="A24" s="180" t="s">
        <v>39</v>
      </c>
      <c r="B24" s="209"/>
      <c r="C24" s="12" t="s">
        <v>847</v>
      </c>
      <c r="D24" s="266">
        <f>+D25+D26</f>
        <v>0</v>
      </c>
      <c r="E24" s="266">
        <f>+E25+E26</f>
        <v>0</v>
      </c>
      <c r="F24" s="266">
        <f>+F25+F26</f>
        <v>0</v>
      </c>
      <c r="G24" s="266"/>
    </row>
    <row r="25" spans="1:9" s="183" customFormat="1" ht="15" customHeight="1" x14ac:dyDescent="0.2">
      <c r="A25" s="192"/>
      <c r="B25" s="199" t="s">
        <v>40</v>
      </c>
      <c r="C25" s="19" t="s">
        <v>808</v>
      </c>
      <c r="D25" s="267">
        <v>0</v>
      </c>
      <c r="E25" s="267">
        <v>0</v>
      </c>
      <c r="F25" s="267">
        <v>0</v>
      </c>
      <c r="G25" s="267"/>
    </row>
    <row r="26" spans="1:9" s="183" customFormat="1" ht="15" customHeight="1" x14ac:dyDescent="0.2">
      <c r="A26" s="202"/>
      <c r="B26" s="203" t="s">
        <v>41</v>
      </c>
      <c r="C26" s="24" t="s">
        <v>809</v>
      </c>
      <c r="D26" s="261">
        <v>0</v>
      </c>
      <c r="E26" s="261">
        <v>0</v>
      </c>
      <c r="F26" s="261">
        <v>0</v>
      </c>
      <c r="G26" s="261"/>
    </row>
    <row r="27" spans="1:9" s="187" customFormat="1" ht="15" customHeight="1" x14ac:dyDescent="0.25">
      <c r="A27" s="212" t="s">
        <v>49</v>
      </c>
      <c r="B27" s="213"/>
      <c r="C27" s="12" t="s">
        <v>848</v>
      </c>
      <c r="D27" s="220">
        <v>3980</v>
      </c>
      <c r="E27" s="220"/>
      <c r="F27" s="220"/>
      <c r="G27" s="220" t="e">
        <f>F27/E27*100</f>
        <v>#DIV/0!</v>
      </c>
    </row>
    <row r="28" spans="1:9" s="187" customFormat="1" ht="15" customHeight="1" x14ac:dyDescent="0.25">
      <c r="A28" s="212"/>
      <c r="B28" s="213"/>
      <c r="C28" s="12" t="s">
        <v>849</v>
      </c>
      <c r="D28" s="220"/>
      <c r="E28" s="220"/>
      <c r="F28" s="220"/>
      <c r="G28" s="220"/>
    </row>
    <row r="29" spans="1:9" s="187" customFormat="1" ht="15" customHeight="1" x14ac:dyDescent="0.2">
      <c r="A29" s="268" t="s">
        <v>179</v>
      </c>
      <c r="B29" s="269"/>
      <c r="C29" s="480" t="s">
        <v>850</v>
      </c>
      <c r="D29" s="270">
        <f>SUM(D8,D17,D22,D23,D24,D27)</f>
        <v>92448</v>
      </c>
      <c r="E29" s="270">
        <f>SUM(E8,E17,E22,E23,E24,E27,E28)</f>
        <v>0</v>
      </c>
      <c r="F29" s="270">
        <f>SUM(F8,F17,F22,F23,F24,F27,F28)</f>
        <v>0</v>
      </c>
      <c r="G29" s="270" t="e">
        <f>F29/E29*100</f>
        <v>#DIV/0!</v>
      </c>
      <c r="I29" s="536">
        <f>SUM(D45-D29)</f>
        <v>0</v>
      </c>
    </row>
    <row r="30" spans="1:9" s="187" customFormat="1" ht="15" customHeight="1" x14ac:dyDescent="0.2">
      <c r="A30" s="462"/>
      <c r="B30" s="462"/>
      <c r="C30" s="481"/>
      <c r="D30" s="514"/>
      <c r="E30" s="514"/>
      <c r="F30" s="514"/>
      <c r="G30" s="514"/>
    </row>
    <row r="31" spans="1:9" s="538" customFormat="1" ht="15" customHeight="1" x14ac:dyDescent="0.2">
      <c r="A31" s="268"/>
      <c r="B31" s="269"/>
      <c r="C31" s="513" t="s">
        <v>199</v>
      </c>
      <c r="D31" s="270"/>
      <c r="E31" s="270"/>
      <c r="F31" s="270"/>
      <c r="G31" s="270"/>
    </row>
    <row r="32" spans="1:9" s="183" customFormat="1" ht="15" customHeight="1" x14ac:dyDescent="0.2">
      <c r="A32" s="180" t="s">
        <v>5</v>
      </c>
      <c r="B32" s="12"/>
      <c r="C32" s="67" t="s">
        <v>102</v>
      </c>
      <c r="D32" s="254">
        <f>SUM(D33:D37)</f>
        <v>92448</v>
      </c>
      <c r="E32" s="254">
        <f>SUM(E33:E37)</f>
        <v>0</v>
      </c>
      <c r="F32" s="254">
        <f>SUM(F33:F37)</f>
        <v>0</v>
      </c>
      <c r="G32" s="254" t="e">
        <f>F32/E32*100</f>
        <v>#DIV/0!</v>
      </c>
    </row>
    <row r="33" spans="1:7" s="187" customFormat="1" ht="15" customHeight="1" x14ac:dyDescent="0.2">
      <c r="A33" s="204"/>
      <c r="B33" s="231" t="s">
        <v>103</v>
      </c>
      <c r="C33" s="27" t="s">
        <v>104</v>
      </c>
      <c r="D33" s="262">
        <v>63435</v>
      </c>
      <c r="E33" s="262"/>
      <c r="F33" s="262"/>
      <c r="G33" s="262" t="e">
        <f>F33/E33*100</f>
        <v>#DIV/0!</v>
      </c>
    </row>
    <row r="34" spans="1:7" s="187" customFormat="1" ht="15" customHeight="1" x14ac:dyDescent="0.2">
      <c r="A34" s="184"/>
      <c r="B34" s="200" t="s">
        <v>105</v>
      </c>
      <c r="C34" s="15" t="s">
        <v>106</v>
      </c>
      <c r="D34" s="255">
        <v>16960</v>
      </c>
      <c r="E34" s="255"/>
      <c r="F34" s="255"/>
      <c r="G34" s="255" t="e">
        <f>F34/E34*100</f>
        <v>#DIV/0!</v>
      </c>
    </row>
    <row r="35" spans="1:7" s="187" customFormat="1" ht="15" customHeight="1" x14ac:dyDescent="0.2">
      <c r="A35" s="184"/>
      <c r="B35" s="200" t="s">
        <v>107</v>
      </c>
      <c r="C35" s="15" t="s">
        <v>108</v>
      </c>
      <c r="D35" s="255">
        <v>12053</v>
      </c>
      <c r="E35" s="255"/>
      <c r="F35" s="255"/>
      <c r="G35" s="255" t="e">
        <f>F35/E35*100</f>
        <v>#DIV/0!</v>
      </c>
    </row>
    <row r="36" spans="1:7" s="187" customFormat="1" ht="15" customHeight="1" x14ac:dyDescent="0.2">
      <c r="A36" s="184"/>
      <c r="B36" s="200" t="s">
        <v>109</v>
      </c>
      <c r="C36" s="15" t="s">
        <v>110</v>
      </c>
      <c r="D36" s="255">
        <v>0</v>
      </c>
      <c r="E36" s="255">
        <v>0</v>
      </c>
      <c r="F36" s="255">
        <v>0</v>
      </c>
      <c r="G36" s="255"/>
    </row>
    <row r="37" spans="1:7" s="187" customFormat="1" ht="15" customHeight="1" x14ac:dyDescent="0.2">
      <c r="A37" s="184"/>
      <c r="B37" s="200" t="s">
        <v>111</v>
      </c>
      <c r="C37" s="15" t="s">
        <v>112</v>
      </c>
      <c r="D37" s="255">
        <v>0</v>
      </c>
      <c r="E37" s="255">
        <v>0</v>
      </c>
      <c r="F37" s="255">
        <v>0</v>
      </c>
      <c r="G37" s="255"/>
    </row>
    <row r="38" spans="1:7" s="187" customFormat="1" ht="15" customHeight="1" x14ac:dyDescent="0.2">
      <c r="A38" s="180" t="s">
        <v>6</v>
      </c>
      <c r="B38" s="12"/>
      <c r="C38" s="67" t="s">
        <v>823</v>
      </c>
      <c r="D38" s="254">
        <f>SUM(D39:D42)</f>
        <v>0</v>
      </c>
      <c r="E38" s="254">
        <f>SUM(E39:E42)</f>
        <v>0</v>
      </c>
      <c r="F38" s="254">
        <f>SUM(F39:F42)</f>
        <v>0</v>
      </c>
      <c r="G38" s="254" t="e">
        <f>F38/E38*100</f>
        <v>#DIV/0!</v>
      </c>
    </row>
    <row r="39" spans="1:7" s="183" customFormat="1" ht="15" customHeight="1" x14ac:dyDescent="0.2">
      <c r="A39" s="204"/>
      <c r="B39" s="231" t="s">
        <v>7</v>
      </c>
      <c r="C39" s="27" t="s">
        <v>816</v>
      </c>
      <c r="D39" s="262">
        <v>0</v>
      </c>
      <c r="E39" s="262"/>
      <c r="F39" s="262"/>
      <c r="G39" s="262" t="e">
        <f>F39/E39*100</f>
        <v>#DIV/0!</v>
      </c>
    </row>
    <row r="40" spans="1:7" s="187" customFormat="1" ht="15" customHeight="1" x14ac:dyDescent="0.2">
      <c r="A40" s="184"/>
      <c r="B40" s="200" t="s">
        <v>9</v>
      </c>
      <c r="C40" s="15" t="s">
        <v>135</v>
      </c>
      <c r="D40" s="255">
        <v>0</v>
      </c>
      <c r="E40" s="255"/>
      <c r="F40" s="255"/>
      <c r="G40" s="255"/>
    </row>
    <row r="41" spans="1:7" s="187" customFormat="1" ht="30" customHeight="1" x14ac:dyDescent="0.2">
      <c r="A41" s="184"/>
      <c r="B41" s="200" t="s">
        <v>15</v>
      </c>
      <c r="C41" s="15" t="s">
        <v>138</v>
      </c>
      <c r="D41" s="255">
        <v>0</v>
      </c>
      <c r="E41" s="255">
        <v>0</v>
      </c>
      <c r="F41" s="255">
        <v>0</v>
      </c>
      <c r="G41" s="255"/>
    </row>
    <row r="42" spans="1:7" s="187" customFormat="1" ht="15" customHeight="1" x14ac:dyDescent="0.2">
      <c r="A42" s="184"/>
      <c r="B42" s="200" t="s">
        <v>19</v>
      </c>
      <c r="C42" s="15" t="s">
        <v>817</v>
      </c>
      <c r="D42" s="255">
        <v>0</v>
      </c>
      <c r="E42" s="255">
        <v>0</v>
      </c>
      <c r="F42" s="255">
        <v>0</v>
      </c>
      <c r="G42" s="255"/>
    </row>
    <row r="43" spans="1:7" s="187" customFormat="1" ht="15" customHeight="1" x14ac:dyDescent="0.2">
      <c r="A43" s="180" t="s">
        <v>20</v>
      </c>
      <c r="B43" s="12"/>
      <c r="C43" s="67" t="s">
        <v>818</v>
      </c>
      <c r="D43" s="220">
        <v>0</v>
      </c>
      <c r="E43" s="220">
        <v>0</v>
      </c>
      <c r="F43" s="220">
        <v>0</v>
      </c>
      <c r="G43" s="220"/>
    </row>
    <row r="44" spans="1:7" s="187" customFormat="1" ht="15" customHeight="1" x14ac:dyDescent="0.2">
      <c r="A44" s="180"/>
      <c r="B44" s="12"/>
      <c r="C44" s="67" t="s">
        <v>819</v>
      </c>
      <c r="D44" s="220"/>
      <c r="E44" s="220"/>
      <c r="F44" s="220"/>
      <c r="G44" s="220"/>
    </row>
    <row r="45" spans="1:7" s="187" customFormat="1" ht="15" customHeight="1" x14ac:dyDescent="0.2">
      <c r="A45" s="268" t="s">
        <v>150</v>
      </c>
      <c r="B45" s="269"/>
      <c r="C45" s="480" t="s">
        <v>820</v>
      </c>
      <c r="D45" s="270">
        <f>+D32+D38+D43</f>
        <v>92448</v>
      </c>
      <c r="E45" s="270">
        <f>+E32+E38+E43+E44</f>
        <v>0</v>
      </c>
      <c r="F45" s="270">
        <f>+F32+F38+F43+F44</f>
        <v>0</v>
      </c>
      <c r="G45" s="270" t="e">
        <f>F45/E45*100</f>
        <v>#DIV/0!</v>
      </c>
    </row>
    <row r="46" spans="1:7" s="187" customFormat="1" ht="15" customHeight="1" x14ac:dyDescent="0.2">
      <c r="A46" s="242"/>
      <c r="B46" s="243"/>
      <c r="C46" s="243"/>
      <c r="D46" s="243"/>
      <c r="E46" s="243"/>
      <c r="F46" s="243"/>
      <c r="G46" s="243"/>
    </row>
    <row r="47" spans="1:7" s="187" customFormat="1" ht="15" customHeight="1" x14ac:dyDescent="0.2">
      <c r="A47" s="244" t="s">
        <v>297</v>
      </c>
      <c r="B47" s="245"/>
      <c r="C47" s="246"/>
      <c r="D47" s="247">
        <v>31.5</v>
      </c>
      <c r="E47" s="247"/>
      <c r="F47" s="247"/>
      <c r="G47" s="247"/>
    </row>
    <row r="48" spans="1:7" s="187" customFormat="1" ht="15" customHeight="1" x14ac:dyDescent="0.2">
      <c r="A48" s="244" t="s">
        <v>298</v>
      </c>
      <c r="B48" s="245"/>
      <c r="C48" s="246"/>
      <c r="D48" s="482"/>
      <c r="E48" s="482"/>
      <c r="F48" s="482"/>
      <c r="G48" s="482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23622047244094491" right="0.19685039370078741" top="0.35433070866141736" bottom="0.39370078740157483" header="0.15748031496062992" footer="0.15748031496062992"/>
  <pageSetup paperSize="9" firstPageNumber="75" orientation="portrait" useFirstPageNumber="1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7" zoomScaleNormal="130" workbookViewId="0">
      <selection activeCell="C17" sqref="C17:C19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1" style="162" customWidth="1"/>
    <col min="4" max="4" width="20.83203125" style="162" customWidth="1"/>
    <col min="5" max="5" width="14.5" style="162" hidden="1" customWidth="1"/>
    <col min="6" max="6" width="13" style="162" hidden="1" customWidth="1"/>
    <col min="7" max="7" width="9.5" style="162" hidden="1" customWidth="1"/>
    <col min="8" max="16384" width="9.33203125" style="162"/>
  </cols>
  <sheetData>
    <row r="1" spans="1:7" s="536" customFormat="1" ht="15" customHeight="1" x14ac:dyDescent="0.2">
      <c r="A1" s="446"/>
      <c r="B1" s="447"/>
      <c r="C1" s="448"/>
      <c r="D1" s="1609" t="s">
        <v>862</v>
      </c>
      <c r="E1" s="1609"/>
      <c r="F1" s="1609"/>
      <c r="G1" s="1609"/>
    </row>
    <row r="2" spans="1:7" s="537" customFormat="1" ht="30" customHeight="1" x14ac:dyDescent="0.2">
      <c r="A2" s="1573" t="s">
        <v>796</v>
      </c>
      <c r="B2" s="1573"/>
      <c r="C2" s="163" t="s">
        <v>874</v>
      </c>
      <c r="D2" s="1615" t="s">
        <v>1481</v>
      </c>
      <c r="E2" s="469"/>
      <c r="F2" s="469"/>
      <c r="G2" s="469"/>
    </row>
    <row r="3" spans="1:7" s="537" customFormat="1" ht="30" customHeight="1" x14ac:dyDescent="0.2">
      <c r="A3" s="1573" t="s">
        <v>264</v>
      </c>
      <c r="B3" s="1573"/>
      <c r="C3" s="166" t="s">
        <v>875</v>
      </c>
      <c r="D3" s="1616"/>
      <c r="E3" s="450"/>
      <c r="F3" s="450"/>
      <c r="G3" s="450"/>
    </row>
    <row r="4" spans="1:7" s="537" customFormat="1" ht="15" customHeight="1" x14ac:dyDescent="0.25">
      <c r="A4" s="167"/>
      <c r="B4" s="167"/>
      <c r="C4" s="167"/>
      <c r="D4" s="1590" t="s">
        <v>1482</v>
      </c>
      <c r="E4" s="1590"/>
      <c r="F4" s="1590"/>
      <c r="G4" s="168" t="s">
        <v>196</v>
      </c>
    </row>
    <row r="5" spans="1:7" s="187" customFormat="1" ht="34.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538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538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197239</v>
      </c>
      <c r="E8" s="254">
        <f>SUM(E9:E16)</f>
        <v>0</v>
      </c>
      <c r="F8" s="254">
        <f>SUM(F9:F16)</f>
        <v>0</v>
      </c>
      <c r="G8" s="254" t="e">
        <f>F8/E8*100</f>
        <v>#DIV/0!</v>
      </c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>
        <v>0</v>
      </c>
      <c r="E9" s="257">
        <v>0</v>
      </c>
      <c r="F9" s="257">
        <v>0</v>
      </c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>
        <v>155306</v>
      </c>
      <c r="E10" s="255"/>
      <c r="F10" s="255"/>
      <c r="G10" s="255" t="e">
        <f>F10/E10*100</f>
        <v>#DIV/0!</v>
      </c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/>
      <c r="E11" s="255"/>
      <c r="F11" s="255"/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/>
      <c r="E12" s="255"/>
      <c r="F12" s="255"/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/>
      <c r="E13" s="255"/>
      <c r="F13" s="255"/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>
        <v>41933</v>
      </c>
      <c r="E14" s="256"/>
      <c r="F14" s="256"/>
      <c r="G14" s="256" t="e">
        <f>F14/E14*100</f>
        <v>#DIV/0!</v>
      </c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/>
      <c r="E15" s="255"/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>
        <v>0</v>
      </c>
      <c r="E16" s="258">
        <v>0</v>
      </c>
      <c r="F16" s="258">
        <v>0</v>
      </c>
      <c r="G16" s="258"/>
    </row>
    <row r="17" spans="1:9" s="183" customFormat="1" ht="15" customHeight="1" x14ac:dyDescent="0.2">
      <c r="A17" s="180" t="s">
        <v>6</v>
      </c>
      <c r="B17" s="181"/>
      <c r="C17" s="222" t="s">
        <v>1963</v>
      </c>
      <c r="D17" s="254">
        <f>SUM(D18:D21)</f>
        <v>45331</v>
      </c>
      <c r="E17" s="254">
        <f>SUM(E18:E21)</f>
        <v>0</v>
      </c>
      <c r="F17" s="254">
        <f>SUM(F18:F21)</f>
        <v>0</v>
      </c>
      <c r="G17" s="254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1964</v>
      </c>
      <c r="D18" s="255">
        <v>45331</v>
      </c>
      <c r="E18" s="255"/>
      <c r="F18" s="255"/>
      <c r="G18" s="255" t="e">
        <f>F18/E18*100</f>
        <v>#DIV/0!</v>
      </c>
    </row>
    <row r="19" spans="1:9" s="187" customFormat="1" ht="15" customHeight="1" x14ac:dyDescent="0.2">
      <c r="A19" s="184"/>
      <c r="B19" s="185" t="s">
        <v>9</v>
      </c>
      <c r="C19" s="15" t="s">
        <v>1965</v>
      </c>
      <c r="D19" s="255"/>
      <c r="E19" s="255"/>
      <c r="F19" s="255"/>
      <c r="G19" s="255"/>
    </row>
    <row r="20" spans="1:9" s="187" customFormat="1" ht="15" customHeight="1" x14ac:dyDescent="0.2">
      <c r="A20" s="184"/>
      <c r="B20" s="185" t="s">
        <v>11</v>
      </c>
      <c r="C20" s="15" t="s">
        <v>802</v>
      </c>
      <c r="D20" s="255">
        <v>0</v>
      </c>
      <c r="E20" s="255">
        <v>0</v>
      </c>
      <c r="F20" s="255">
        <v>0</v>
      </c>
      <c r="G20" s="255"/>
    </row>
    <row r="21" spans="1:9" s="187" customFormat="1" ht="15" customHeight="1" x14ac:dyDescent="0.2">
      <c r="A21" s="184"/>
      <c r="B21" s="185" t="s">
        <v>13</v>
      </c>
      <c r="C21" s="15" t="s">
        <v>803</v>
      </c>
      <c r="D21" s="255">
        <v>0</v>
      </c>
      <c r="E21" s="255">
        <v>0</v>
      </c>
      <c r="F21" s="255">
        <v>0</v>
      </c>
      <c r="G21" s="255"/>
    </row>
    <row r="22" spans="1:9" s="187" customFormat="1" ht="15" customHeight="1" x14ac:dyDescent="0.2">
      <c r="A22" s="180" t="s">
        <v>20</v>
      </c>
      <c r="B22" s="12"/>
      <c r="C22" s="12" t="s">
        <v>804</v>
      </c>
      <c r="D22" s="220">
        <v>0</v>
      </c>
      <c r="E22" s="220">
        <v>0</v>
      </c>
      <c r="F22" s="220">
        <v>0</v>
      </c>
      <c r="G22" s="220"/>
    </row>
    <row r="23" spans="1:9" s="183" customFormat="1" ht="15" customHeight="1" x14ac:dyDescent="0.2">
      <c r="A23" s="180" t="s">
        <v>150</v>
      </c>
      <c r="B23" s="181"/>
      <c r="C23" s="12" t="s">
        <v>846</v>
      </c>
      <c r="D23" s="220">
        <v>0</v>
      </c>
      <c r="E23" s="220">
        <v>0</v>
      </c>
      <c r="F23" s="220">
        <v>0</v>
      </c>
      <c r="G23" s="220"/>
    </row>
    <row r="24" spans="1:9" s="183" customFormat="1" ht="15" customHeight="1" x14ac:dyDescent="0.2">
      <c r="A24" s="180" t="s">
        <v>39</v>
      </c>
      <c r="B24" s="209"/>
      <c r="C24" s="12" t="s">
        <v>847</v>
      </c>
      <c r="D24" s="266">
        <f>+D25+D26</f>
        <v>0</v>
      </c>
      <c r="E24" s="266">
        <f>+E25+E26</f>
        <v>0</v>
      </c>
      <c r="F24" s="266">
        <f>+F25+F26</f>
        <v>0</v>
      </c>
      <c r="G24" s="266" t="e">
        <f>F24/E24*100</f>
        <v>#DIV/0!</v>
      </c>
    </row>
    <row r="25" spans="1:9" s="183" customFormat="1" ht="15" customHeight="1" x14ac:dyDescent="0.2">
      <c r="A25" s="192"/>
      <c r="B25" s="199" t="s">
        <v>40</v>
      </c>
      <c r="C25" s="19" t="s">
        <v>808</v>
      </c>
      <c r="D25" s="267">
        <v>0</v>
      </c>
      <c r="E25" s="267"/>
      <c r="F25" s="267"/>
      <c r="G25" s="267" t="e">
        <f>F25/E25*100</f>
        <v>#DIV/0!</v>
      </c>
    </row>
    <row r="26" spans="1:9" s="183" customFormat="1" ht="15" customHeight="1" x14ac:dyDescent="0.2">
      <c r="A26" s="202"/>
      <c r="B26" s="203" t="s">
        <v>41</v>
      </c>
      <c r="C26" s="24" t="s">
        <v>809</v>
      </c>
      <c r="D26" s="261">
        <v>0</v>
      </c>
      <c r="E26" s="261">
        <v>0</v>
      </c>
      <c r="F26" s="261">
        <v>0</v>
      </c>
      <c r="G26" s="261"/>
    </row>
    <row r="27" spans="1:9" s="187" customFormat="1" ht="15" customHeight="1" x14ac:dyDescent="0.25">
      <c r="A27" s="212" t="s">
        <v>49</v>
      </c>
      <c r="B27" s="213"/>
      <c r="C27" s="12" t="s">
        <v>848</v>
      </c>
      <c r="D27" s="220">
        <v>16267</v>
      </c>
      <c r="E27" s="220"/>
      <c r="F27" s="220"/>
      <c r="G27" s="220" t="e">
        <f>F27/E27*100</f>
        <v>#DIV/0!</v>
      </c>
    </row>
    <row r="28" spans="1:9" s="187" customFormat="1" ht="15" customHeight="1" x14ac:dyDescent="0.25">
      <c r="A28" s="212"/>
      <c r="B28" s="213"/>
      <c r="C28" s="12" t="s">
        <v>849</v>
      </c>
      <c r="D28" s="220"/>
      <c r="E28" s="220"/>
      <c r="F28" s="220"/>
      <c r="G28" s="220"/>
    </row>
    <row r="29" spans="1:9" s="187" customFormat="1" ht="15" customHeight="1" x14ac:dyDescent="0.2">
      <c r="A29" s="268" t="s">
        <v>179</v>
      </c>
      <c r="B29" s="269"/>
      <c r="C29" s="480" t="s">
        <v>850</v>
      </c>
      <c r="D29" s="270">
        <f>SUM(D8,D17,D22,D23,D24,D27)</f>
        <v>258837</v>
      </c>
      <c r="E29" s="270">
        <f>SUM(E8,E17,E22,E23,E24,E27,E28)</f>
        <v>0</v>
      </c>
      <c r="F29" s="270">
        <f>SUM(F8,F17,F22,F23,F24,F27,F28)</f>
        <v>0</v>
      </c>
      <c r="G29" s="270" t="e">
        <f>F29/E29*100</f>
        <v>#DIV/0!</v>
      </c>
      <c r="I29" s="536">
        <f>SUM(D45-D29)</f>
        <v>0</v>
      </c>
    </row>
    <row r="30" spans="1:9" s="187" customFormat="1" ht="15" customHeight="1" x14ac:dyDescent="0.2">
      <c r="A30" s="462"/>
      <c r="B30" s="462"/>
      <c r="C30" s="481"/>
      <c r="D30" s="514"/>
      <c r="E30" s="514"/>
      <c r="F30" s="514"/>
      <c r="G30" s="514"/>
    </row>
    <row r="31" spans="1:9" s="538" customFormat="1" ht="15" customHeight="1" x14ac:dyDescent="0.2">
      <c r="A31" s="268"/>
      <c r="B31" s="269"/>
      <c r="C31" s="513" t="s">
        <v>199</v>
      </c>
      <c r="D31" s="270"/>
      <c r="E31" s="270"/>
      <c r="F31" s="270"/>
      <c r="G31" s="270"/>
    </row>
    <row r="32" spans="1:9" s="183" customFormat="1" ht="15" customHeight="1" x14ac:dyDescent="0.2">
      <c r="A32" s="180" t="s">
        <v>5</v>
      </c>
      <c r="B32" s="12"/>
      <c r="C32" s="67" t="s">
        <v>102</v>
      </c>
      <c r="D32" s="254">
        <f>SUM(D33:D37)</f>
        <v>258837</v>
      </c>
      <c r="E32" s="254">
        <f>SUM(E33:E37)</f>
        <v>0</v>
      </c>
      <c r="F32" s="254">
        <f>SUM(F33:F37)</f>
        <v>0</v>
      </c>
      <c r="G32" s="254" t="e">
        <f>F32/E32*100</f>
        <v>#DIV/0!</v>
      </c>
    </row>
    <row r="33" spans="1:7" s="187" customFormat="1" ht="15" customHeight="1" x14ac:dyDescent="0.2">
      <c r="A33" s="204"/>
      <c r="B33" s="231" t="s">
        <v>103</v>
      </c>
      <c r="C33" s="27" t="s">
        <v>104</v>
      </c>
      <c r="D33" s="262">
        <v>35918</v>
      </c>
      <c r="E33" s="262"/>
      <c r="F33" s="262"/>
      <c r="G33" s="262" t="e">
        <f>F33/E33*100</f>
        <v>#DIV/0!</v>
      </c>
    </row>
    <row r="34" spans="1:7" s="187" customFormat="1" ht="15" customHeight="1" x14ac:dyDescent="0.2">
      <c r="A34" s="184"/>
      <c r="B34" s="200" t="s">
        <v>105</v>
      </c>
      <c r="C34" s="15" t="s">
        <v>106</v>
      </c>
      <c r="D34" s="255">
        <v>9491</v>
      </c>
      <c r="E34" s="255"/>
      <c r="F34" s="255"/>
      <c r="G34" s="255" t="e">
        <f>F34/E34*100</f>
        <v>#DIV/0!</v>
      </c>
    </row>
    <row r="35" spans="1:7" s="187" customFormat="1" ht="15" customHeight="1" x14ac:dyDescent="0.2">
      <c r="A35" s="184"/>
      <c r="B35" s="200" t="s">
        <v>107</v>
      </c>
      <c r="C35" s="15" t="s">
        <v>108</v>
      </c>
      <c r="D35" s="255">
        <v>213428</v>
      </c>
      <c r="E35" s="255"/>
      <c r="F35" s="255"/>
      <c r="G35" s="255" t="e">
        <f>F35/E35*100</f>
        <v>#DIV/0!</v>
      </c>
    </row>
    <row r="36" spans="1:7" s="187" customFormat="1" ht="15" customHeight="1" x14ac:dyDescent="0.2">
      <c r="A36" s="184"/>
      <c r="B36" s="200" t="s">
        <v>109</v>
      </c>
      <c r="C36" s="15" t="s">
        <v>110</v>
      </c>
      <c r="D36" s="255"/>
      <c r="E36" s="255"/>
      <c r="F36" s="255"/>
      <c r="G36" s="255"/>
    </row>
    <row r="37" spans="1:7" s="187" customFormat="1" ht="15" customHeight="1" x14ac:dyDescent="0.2">
      <c r="A37" s="184"/>
      <c r="B37" s="200" t="s">
        <v>111</v>
      </c>
      <c r="C37" s="15" t="s">
        <v>112</v>
      </c>
      <c r="D37" s="255">
        <v>0</v>
      </c>
      <c r="E37" s="255">
        <v>0</v>
      </c>
      <c r="F37" s="255">
        <v>0</v>
      </c>
      <c r="G37" s="255"/>
    </row>
    <row r="38" spans="1:7" s="187" customFormat="1" ht="15" customHeight="1" x14ac:dyDescent="0.2">
      <c r="A38" s="180" t="s">
        <v>6</v>
      </c>
      <c r="B38" s="12"/>
      <c r="C38" s="67" t="s">
        <v>823</v>
      </c>
      <c r="D38" s="254">
        <f>SUM(D39:D42)</f>
        <v>0</v>
      </c>
      <c r="E38" s="254">
        <f>SUM(E39:E42)</f>
        <v>0</v>
      </c>
      <c r="F38" s="254">
        <f>SUM(F39:F42)</f>
        <v>0</v>
      </c>
      <c r="G38" s="254" t="e">
        <f>F38/E38*100</f>
        <v>#DIV/0!</v>
      </c>
    </row>
    <row r="39" spans="1:7" s="183" customFormat="1" ht="15" customHeight="1" x14ac:dyDescent="0.2">
      <c r="A39" s="204"/>
      <c r="B39" s="231" t="s">
        <v>7</v>
      </c>
      <c r="C39" s="27" t="s">
        <v>816</v>
      </c>
      <c r="D39" s="262">
        <v>0</v>
      </c>
      <c r="E39" s="262"/>
      <c r="F39" s="262"/>
      <c r="G39" s="262" t="e">
        <f>F39/E39*100</f>
        <v>#DIV/0!</v>
      </c>
    </row>
    <row r="40" spans="1:7" s="187" customFormat="1" ht="15" customHeight="1" x14ac:dyDescent="0.2">
      <c r="A40" s="184"/>
      <c r="B40" s="200" t="s">
        <v>9</v>
      </c>
      <c r="C40" s="15" t="s">
        <v>135</v>
      </c>
      <c r="D40" s="255">
        <v>0</v>
      </c>
      <c r="E40" s="255">
        <v>0</v>
      </c>
      <c r="F40" s="255">
        <v>0</v>
      </c>
      <c r="G40" s="255"/>
    </row>
    <row r="41" spans="1:7" s="187" customFormat="1" ht="30" customHeight="1" x14ac:dyDescent="0.2">
      <c r="A41" s="184"/>
      <c r="B41" s="200" t="s">
        <v>15</v>
      </c>
      <c r="C41" s="15" t="s">
        <v>138</v>
      </c>
      <c r="D41" s="255">
        <v>0</v>
      </c>
      <c r="E41" s="255">
        <v>0</v>
      </c>
      <c r="F41" s="255">
        <v>0</v>
      </c>
      <c r="G41" s="255"/>
    </row>
    <row r="42" spans="1:7" s="187" customFormat="1" ht="15" customHeight="1" x14ac:dyDescent="0.2">
      <c r="A42" s="184"/>
      <c r="B42" s="200" t="s">
        <v>19</v>
      </c>
      <c r="C42" s="15" t="s">
        <v>817</v>
      </c>
      <c r="D42" s="255">
        <v>0</v>
      </c>
      <c r="E42" s="255">
        <v>0</v>
      </c>
      <c r="F42" s="255">
        <v>0</v>
      </c>
      <c r="G42" s="255"/>
    </row>
    <row r="43" spans="1:7" s="187" customFormat="1" ht="15" customHeight="1" x14ac:dyDescent="0.2">
      <c r="A43" s="180" t="s">
        <v>20</v>
      </c>
      <c r="B43" s="12"/>
      <c r="C43" s="67" t="s">
        <v>818</v>
      </c>
      <c r="D43" s="220">
        <v>0</v>
      </c>
      <c r="E43" s="220">
        <v>0</v>
      </c>
      <c r="F43" s="220">
        <v>0</v>
      </c>
      <c r="G43" s="220"/>
    </row>
    <row r="44" spans="1:7" s="187" customFormat="1" ht="15" customHeight="1" x14ac:dyDescent="0.2">
      <c r="A44" s="180"/>
      <c r="B44" s="12"/>
      <c r="C44" s="67" t="s">
        <v>819</v>
      </c>
      <c r="D44" s="220"/>
      <c r="E44" s="220"/>
      <c r="F44" s="220"/>
      <c r="G44" s="220"/>
    </row>
    <row r="45" spans="1:7" s="187" customFormat="1" ht="15" customHeight="1" x14ac:dyDescent="0.2">
      <c r="A45" s="268" t="s">
        <v>150</v>
      </c>
      <c r="B45" s="269"/>
      <c r="C45" s="480" t="s">
        <v>820</v>
      </c>
      <c r="D45" s="270">
        <f>+D32+D38+D43</f>
        <v>258837</v>
      </c>
      <c r="E45" s="270">
        <f>+E32+E38+E43+E44</f>
        <v>0</v>
      </c>
      <c r="F45" s="270">
        <f>+F32+F38+F43+F44</f>
        <v>0</v>
      </c>
      <c r="G45" s="270" t="e">
        <f>F45/E45*100</f>
        <v>#DIV/0!</v>
      </c>
    </row>
    <row r="46" spans="1:7" s="187" customFormat="1" ht="15" customHeight="1" x14ac:dyDescent="0.2">
      <c r="A46" s="242"/>
      <c r="B46" s="243"/>
      <c r="C46" s="243"/>
      <c r="D46" s="243"/>
      <c r="E46" s="243"/>
      <c r="F46" s="243"/>
      <c r="G46" s="243"/>
    </row>
    <row r="47" spans="1:7" s="187" customFormat="1" ht="15" customHeight="1" x14ac:dyDescent="0.2">
      <c r="A47" s="244" t="s">
        <v>297</v>
      </c>
      <c r="B47" s="245"/>
      <c r="C47" s="246"/>
      <c r="D47" s="247">
        <v>25</v>
      </c>
      <c r="E47" s="247"/>
      <c r="F47" s="247"/>
      <c r="G47" s="247"/>
    </row>
    <row r="48" spans="1:7" s="187" customFormat="1" ht="15" customHeight="1" x14ac:dyDescent="0.2">
      <c r="A48" s="244" t="s">
        <v>298</v>
      </c>
      <c r="B48" s="245"/>
      <c r="C48" s="246"/>
      <c r="D48" s="482"/>
      <c r="E48" s="482"/>
      <c r="F48" s="482"/>
      <c r="G48" s="482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19685039370078741" right="0.31496062992125984" top="0.36" bottom="0.43307086614173229" header="0.16" footer="0.15748031496062992"/>
  <pageSetup paperSize="9" firstPageNumber="76" orientation="portrait" useFirstPageNumber="1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topLeftCell="A4" zoomScaleNormal="130" workbookViewId="0">
      <selection activeCell="C17" sqref="C17:C19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2" style="162" customWidth="1"/>
    <col min="4" max="4" width="19.1640625" style="162" customWidth="1"/>
    <col min="5" max="6" width="13.33203125" style="162" hidden="1" customWidth="1"/>
    <col min="7" max="7" width="9.1640625" style="162" hidden="1" customWidth="1"/>
    <col min="8" max="16384" width="9.33203125" style="162"/>
  </cols>
  <sheetData>
    <row r="1" spans="1:7" s="536" customFormat="1" ht="15" customHeight="1" x14ac:dyDescent="0.2">
      <c r="A1" s="446"/>
      <c r="B1" s="447"/>
      <c r="C1" s="448"/>
      <c r="D1" s="1609" t="s">
        <v>864</v>
      </c>
      <c r="E1" s="1609"/>
      <c r="F1" s="1609"/>
      <c r="G1" s="1609"/>
    </row>
    <row r="2" spans="1:7" s="537" customFormat="1" ht="30" customHeight="1" x14ac:dyDescent="0.2">
      <c r="A2" s="1573" t="s">
        <v>796</v>
      </c>
      <c r="B2" s="1573"/>
      <c r="C2" s="163" t="s">
        <v>876</v>
      </c>
      <c r="D2" s="1615" t="s">
        <v>1481</v>
      </c>
      <c r="E2" s="469"/>
      <c r="F2" s="469"/>
      <c r="G2" s="469"/>
    </row>
    <row r="3" spans="1:7" s="537" customFormat="1" ht="30" customHeight="1" x14ac:dyDescent="0.2">
      <c r="A3" s="1573" t="s">
        <v>264</v>
      </c>
      <c r="B3" s="1573"/>
      <c r="C3" s="539"/>
      <c r="D3" s="1616"/>
      <c r="E3" s="450"/>
      <c r="F3" s="450"/>
      <c r="G3" s="450"/>
    </row>
    <row r="4" spans="1:7" s="537" customFormat="1" ht="15" customHeight="1" x14ac:dyDescent="0.25">
      <c r="A4" s="167"/>
      <c r="B4" s="167"/>
      <c r="C4" s="167"/>
      <c r="D4" s="1590" t="s">
        <v>1482</v>
      </c>
      <c r="E4" s="1590"/>
      <c r="F4" s="1590"/>
      <c r="G4" s="168" t="s">
        <v>196</v>
      </c>
    </row>
    <row r="5" spans="1:7" s="187" customFormat="1" ht="33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538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538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268" t="s">
        <v>5</v>
      </c>
      <c r="B8" s="269"/>
      <c r="C8" s="182" t="s">
        <v>798</v>
      </c>
      <c r="D8" s="254">
        <f>SUM(D9:D16)</f>
        <v>6917</v>
      </c>
      <c r="E8" s="254">
        <f>SUM(E9:E16)</f>
        <v>0</v>
      </c>
      <c r="F8" s="254">
        <f>SUM(F9:F16)</f>
        <v>0</v>
      </c>
      <c r="G8" s="254" t="e">
        <f>F8/E8*100</f>
        <v>#DIV/0!</v>
      </c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>
        <v>0</v>
      </c>
      <c r="E9" s="257">
        <v>0</v>
      </c>
      <c r="F9" s="257">
        <v>0</v>
      </c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/>
      <c r="E10" s="255"/>
      <c r="F10" s="255"/>
      <c r="G10" s="255"/>
    </row>
    <row r="11" spans="1:7" s="183" customFormat="1" ht="15" customHeight="1" x14ac:dyDescent="0.2">
      <c r="A11" s="184"/>
      <c r="B11" s="185" t="s">
        <v>107</v>
      </c>
      <c r="C11" s="15" t="s">
        <v>929</v>
      </c>
      <c r="D11" s="255">
        <v>2500</v>
      </c>
      <c r="E11" s="255"/>
      <c r="F11" s="255"/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>
        <v>2571</v>
      </c>
      <c r="E12" s="255"/>
      <c r="F12" s="255"/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>
        <v>907</v>
      </c>
      <c r="E13" s="255"/>
      <c r="F13" s="255"/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>
        <v>939</v>
      </c>
      <c r="E14" s="256"/>
      <c r="F14" s="256"/>
      <c r="G14" s="256" t="e">
        <f>F14/E14*100</f>
        <v>#DIV/0!</v>
      </c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/>
      <c r="E15" s="255"/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>
        <v>0</v>
      </c>
      <c r="E16" s="258">
        <v>0</v>
      </c>
      <c r="F16" s="258">
        <v>0</v>
      </c>
      <c r="G16" s="258"/>
    </row>
    <row r="17" spans="1:10" s="183" customFormat="1" ht="15" customHeight="1" x14ac:dyDescent="0.2">
      <c r="A17" s="180" t="s">
        <v>6</v>
      </c>
      <c r="B17" s="181"/>
      <c r="C17" s="222" t="s">
        <v>1963</v>
      </c>
      <c r="D17" s="254">
        <f>SUM(D18:D21)</f>
        <v>23819</v>
      </c>
      <c r="E17" s="254">
        <f>SUM(E18:E21)</f>
        <v>0</v>
      </c>
      <c r="F17" s="254">
        <f>SUM(F18:F21)</f>
        <v>0</v>
      </c>
      <c r="G17" s="254" t="e">
        <f>F17/E17*100</f>
        <v>#DIV/0!</v>
      </c>
    </row>
    <row r="18" spans="1:10" s="187" customFormat="1" ht="15" customHeight="1" x14ac:dyDescent="0.2">
      <c r="A18" s="184"/>
      <c r="B18" s="185" t="s">
        <v>7</v>
      </c>
      <c r="C18" s="27" t="s">
        <v>1964</v>
      </c>
      <c r="D18" s="255">
        <v>23819</v>
      </c>
      <c r="E18" s="255"/>
      <c r="F18" s="255"/>
      <c r="G18" s="255" t="e">
        <f>F18/E18*100</f>
        <v>#DIV/0!</v>
      </c>
      <c r="I18" s="201"/>
      <c r="J18" s="201"/>
    </row>
    <row r="19" spans="1:10" s="187" customFormat="1" ht="15" customHeight="1" x14ac:dyDescent="0.2">
      <c r="A19" s="184"/>
      <c r="B19" s="185" t="s">
        <v>9</v>
      </c>
      <c r="C19" s="15" t="s">
        <v>1965</v>
      </c>
      <c r="D19" s="255">
        <v>0</v>
      </c>
      <c r="E19" s="255"/>
      <c r="F19" s="255"/>
      <c r="G19" s="255"/>
      <c r="I19" s="201"/>
      <c r="J19" s="201"/>
    </row>
    <row r="20" spans="1:10" s="187" customFormat="1" ht="15" customHeight="1" x14ac:dyDescent="0.2">
      <c r="A20" s="184"/>
      <c r="B20" s="185" t="s">
        <v>11</v>
      </c>
      <c r="C20" s="15" t="s">
        <v>802</v>
      </c>
      <c r="D20" s="255">
        <v>0</v>
      </c>
      <c r="E20" s="255"/>
      <c r="F20" s="255"/>
      <c r="G20" s="255"/>
      <c r="I20" s="201"/>
      <c r="J20" s="201"/>
    </row>
    <row r="21" spans="1:10" s="187" customFormat="1" ht="15" customHeight="1" x14ac:dyDescent="0.2">
      <c r="A21" s="184"/>
      <c r="B21" s="185" t="s">
        <v>13</v>
      </c>
      <c r="C21" s="15" t="s">
        <v>803</v>
      </c>
      <c r="D21" s="255">
        <v>0</v>
      </c>
      <c r="E21" s="255"/>
      <c r="F21" s="255"/>
      <c r="G21" s="255"/>
      <c r="I21" s="201"/>
      <c r="J21" s="201"/>
    </row>
    <row r="22" spans="1:10" s="187" customFormat="1" ht="15" customHeight="1" x14ac:dyDescent="0.2">
      <c r="A22" s="180" t="s">
        <v>20</v>
      </c>
      <c r="B22" s="12"/>
      <c r="C22" s="12" t="s">
        <v>804</v>
      </c>
      <c r="D22" s="220">
        <v>0</v>
      </c>
      <c r="E22" s="220">
        <v>0</v>
      </c>
      <c r="F22" s="220">
        <v>0</v>
      </c>
      <c r="G22" s="220"/>
      <c r="I22" s="201"/>
      <c r="J22" s="201"/>
    </row>
    <row r="23" spans="1:10" s="183" customFormat="1" ht="15" customHeight="1" x14ac:dyDescent="0.2">
      <c r="A23" s="180" t="s">
        <v>150</v>
      </c>
      <c r="B23" s="181"/>
      <c r="C23" s="12" t="s">
        <v>846</v>
      </c>
      <c r="D23" s="220">
        <v>0</v>
      </c>
      <c r="E23" s="220">
        <v>0</v>
      </c>
      <c r="F23" s="220">
        <v>0</v>
      </c>
      <c r="G23" s="220"/>
      <c r="I23" s="531"/>
      <c r="J23" s="531"/>
    </row>
    <row r="24" spans="1:10" s="183" customFormat="1" ht="15" customHeight="1" x14ac:dyDescent="0.2">
      <c r="A24" s="180" t="s">
        <v>39</v>
      </c>
      <c r="B24" s="209"/>
      <c r="C24" s="12" t="s">
        <v>847</v>
      </c>
      <c r="D24" s="266">
        <f>+D25+D26</f>
        <v>0</v>
      </c>
      <c r="E24" s="266">
        <f>+E25+E26</f>
        <v>0</v>
      </c>
      <c r="F24" s="266">
        <f>+F25+F26</f>
        <v>0</v>
      </c>
      <c r="G24" s="266"/>
      <c r="I24" s="531"/>
      <c r="J24" s="531"/>
    </row>
    <row r="25" spans="1:10" s="183" customFormat="1" ht="15" customHeight="1" x14ac:dyDescent="0.2">
      <c r="A25" s="192"/>
      <c r="B25" s="199" t="s">
        <v>40</v>
      </c>
      <c r="C25" s="19" t="s">
        <v>808</v>
      </c>
      <c r="D25" s="267">
        <v>0</v>
      </c>
      <c r="E25" s="267">
        <v>0</v>
      </c>
      <c r="F25" s="267">
        <v>0</v>
      </c>
      <c r="G25" s="267"/>
      <c r="I25" s="531"/>
      <c r="J25" s="531"/>
    </row>
    <row r="26" spans="1:10" s="183" customFormat="1" ht="15" customHeight="1" x14ac:dyDescent="0.2">
      <c r="A26" s="202"/>
      <c r="B26" s="203" t="s">
        <v>41</v>
      </c>
      <c r="C26" s="24" t="s">
        <v>809</v>
      </c>
      <c r="D26" s="261">
        <v>0</v>
      </c>
      <c r="E26" s="261">
        <v>0</v>
      </c>
      <c r="F26" s="261">
        <v>0</v>
      </c>
      <c r="G26" s="261"/>
      <c r="I26" s="531"/>
      <c r="J26" s="531"/>
    </row>
    <row r="27" spans="1:10" s="187" customFormat="1" ht="15" customHeight="1" x14ac:dyDescent="0.25">
      <c r="A27" s="212" t="s">
        <v>49</v>
      </c>
      <c r="B27" s="213"/>
      <c r="C27" s="12" t="s">
        <v>848</v>
      </c>
      <c r="D27" s="220">
        <v>26907</v>
      </c>
      <c r="E27" s="220"/>
      <c r="F27" s="220"/>
      <c r="G27" s="220" t="e">
        <f>F27/E27*100</f>
        <v>#DIV/0!</v>
      </c>
      <c r="I27" s="201">
        <f>SUM(D32-D29)</f>
        <v>0</v>
      </c>
      <c r="J27" s="201"/>
    </row>
    <row r="28" spans="1:10" s="187" customFormat="1" ht="15" customHeight="1" x14ac:dyDescent="0.25">
      <c r="A28" s="212"/>
      <c r="B28" s="213"/>
      <c r="C28" s="12" t="s">
        <v>849</v>
      </c>
      <c r="D28" s="220"/>
      <c r="E28" s="220"/>
      <c r="F28" s="220"/>
      <c r="G28" s="220"/>
    </row>
    <row r="29" spans="1:10" s="187" customFormat="1" ht="15" customHeight="1" x14ac:dyDescent="0.2">
      <c r="A29" s="268" t="s">
        <v>179</v>
      </c>
      <c r="B29" s="269"/>
      <c r="C29" s="480" t="s">
        <v>850</v>
      </c>
      <c r="D29" s="270">
        <f>SUM(D8,D17,D22,D23,D24,D27)</f>
        <v>57643</v>
      </c>
      <c r="E29" s="270">
        <f>SUM(E8,E17,E22,E23,E24,E27,E28)</f>
        <v>0</v>
      </c>
      <c r="F29" s="270">
        <f>SUM(F8,F17,F22,F23,F24,F27,F28)</f>
        <v>0</v>
      </c>
      <c r="G29" s="270" t="e">
        <f>F29/E29*100</f>
        <v>#DIV/0!</v>
      </c>
      <c r="I29" s="201"/>
      <c r="J29" s="201"/>
    </row>
    <row r="30" spans="1:10" s="187" customFormat="1" ht="15" customHeight="1" x14ac:dyDescent="0.2">
      <c r="A30" s="462"/>
      <c r="B30" s="462"/>
      <c r="C30" s="481"/>
      <c r="D30" s="514"/>
      <c r="E30" s="514"/>
      <c r="F30" s="514"/>
      <c r="G30" s="514"/>
    </row>
    <row r="31" spans="1:10" s="538" customFormat="1" ht="15" customHeight="1" x14ac:dyDescent="0.2">
      <c r="A31" s="268"/>
      <c r="B31" s="269"/>
      <c r="C31" s="513" t="s">
        <v>199</v>
      </c>
      <c r="D31" s="270"/>
      <c r="E31" s="270"/>
      <c r="F31" s="270"/>
      <c r="G31" s="270"/>
    </row>
    <row r="32" spans="1:10" s="183" customFormat="1" ht="15" customHeight="1" x14ac:dyDescent="0.2">
      <c r="A32" s="180" t="s">
        <v>5</v>
      </c>
      <c r="B32" s="12"/>
      <c r="C32" s="67" t="s">
        <v>102</v>
      </c>
      <c r="D32" s="254">
        <f>SUM(D33:D37)</f>
        <v>57643</v>
      </c>
      <c r="E32" s="254">
        <f>SUM(E33:E37)</f>
        <v>0</v>
      </c>
      <c r="F32" s="254">
        <f>SUM(F33:F37)</f>
        <v>0</v>
      </c>
      <c r="G32" s="254" t="e">
        <f>F32/E32*100</f>
        <v>#DIV/0!</v>
      </c>
    </row>
    <row r="33" spans="1:7" s="187" customFormat="1" ht="15" customHeight="1" x14ac:dyDescent="0.2">
      <c r="A33" s="204"/>
      <c r="B33" s="231" t="s">
        <v>103</v>
      </c>
      <c r="C33" s="27" t="s">
        <v>104</v>
      </c>
      <c r="D33" s="262">
        <v>32955</v>
      </c>
      <c r="E33" s="262"/>
      <c r="F33" s="262"/>
      <c r="G33" s="262" t="e">
        <f>F33/E33*100</f>
        <v>#DIV/0!</v>
      </c>
    </row>
    <row r="34" spans="1:7" s="187" customFormat="1" ht="15" customHeight="1" x14ac:dyDescent="0.2">
      <c r="A34" s="184"/>
      <c r="B34" s="200" t="s">
        <v>105</v>
      </c>
      <c r="C34" s="15" t="s">
        <v>106</v>
      </c>
      <c r="D34" s="255">
        <v>8632</v>
      </c>
      <c r="E34" s="255"/>
      <c r="F34" s="255"/>
      <c r="G34" s="255" t="e">
        <f>F34/E34*100</f>
        <v>#DIV/0!</v>
      </c>
    </row>
    <row r="35" spans="1:7" s="187" customFormat="1" ht="15" customHeight="1" x14ac:dyDescent="0.2">
      <c r="A35" s="184"/>
      <c r="B35" s="200" t="s">
        <v>107</v>
      </c>
      <c r="C35" s="15" t="s">
        <v>108</v>
      </c>
      <c r="D35" s="255">
        <v>16056</v>
      </c>
      <c r="E35" s="255"/>
      <c r="F35" s="255"/>
      <c r="G35" s="255" t="e">
        <f>F35/E35*100</f>
        <v>#DIV/0!</v>
      </c>
    </row>
    <row r="36" spans="1:7" s="187" customFormat="1" ht="15" customHeight="1" x14ac:dyDescent="0.2">
      <c r="A36" s="184"/>
      <c r="B36" s="200" t="s">
        <v>109</v>
      </c>
      <c r="C36" s="15" t="s">
        <v>110</v>
      </c>
      <c r="D36" s="255"/>
      <c r="E36" s="255"/>
      <c r="F36" s="255"/>
      <c r="G36" s="255"/>
    </row>
    <row r="37" spans="1:7" s="187" customFormat="1" ht="15" customHeight="1" x14ac:dyDescent="0.2">
      <c r="A37" s="184"/>
      <c r="B37" s="200" t="s">
        <v>111</v>
      </c>
      <c r="C37" s="15" t="s">
        <v>112</v>
      </c>
      <c r="D37" s="255">
        <v>0</v>
      </c>
      <c r="E37" s="255">
        <v>0</v>
      </c>
      <c r="F37" s="255">
        <v>0</v>
      </c>
      <c r="G37" s="255"/>
    </row>
    <row r="38" spans="1:7" s="187" customFormat="1" ht="15" customHeight="1" x14ac:dyDescent="0.2">
      <c r="A38" s="180" t="s">
        <v>6</v>
      </c>
      <c r="B38" s="12"/>
      <c r="C38" s="67" t="s">
        <v>823</v>
      </c>
      <c r="D38" s="254">
        <f>SUM(D39:D42)</f>
        <v>0</v>
      </c>
      <c r="E38" s="254">
        <f>SUM(E39:E42)</f>
        <v>0</v>
      </c>
      <c r="F38" s="254">
        <f>SUM(F39:F42)</f>
        <v>0</v>
      </c>
      <c r="G38" s="254"/>
    </row>
    <row r="39" spans="1:7" s="183" customFormat="1" ht="15" customHeight="1" x14ac:dyDescent="0.2">
      <c r="A39" s="204"/>
      <c r="B39" s="231" t="s">
        <v>7</v>
      </c>
      <c r="C39" s="27" t="s">
        <v>816</v>
      </c>
      <c r="D39" s="262">
        <v>0</v>
      </c>
      <c r="E39" s="262"/>
      <c r="F39" s="262">
        <v>0</v>
      </c>
      <c r="G39" s="262"/>
    </row>
    <row r="40" spans="1:7" s="187" customFormat="1" ht="15" customHeight="1" x14ac:dyDescent="0.2">
      <c r="A40" s="184"/>
      <c r="B40" s="200" t="s">
        <v>9</v>
      </c>
      <c r="C40" s="15" t="s">
        <v>135</v>
      </c>
      <c r="D40" s="255">
        <v>0</v>
      </c>
      <c r="E40" s="255">
        <v>0</v>
      </c>
      <c r="F40" s="255">
        <v>0</v>
      </c>
      <c r="G40" s="255"/>
    </row>
    <row r="41" spans="1:7" s="187" customFormat="1" ht="30" customHeight="1" x14ac:dyDescent="0.2">
      <c r="A41" s="184"/>
      <c r="B41" s="200" t="s">
        <v>15</v>
      </c>
      <c r="C41" s="15" t="s">
        <v>138</v>
      </c>
      <c r="D41" s="255">
        <v>0</v>
      </c>
      <c r="E41" s="255">
        <v>0</v>
      </c>
      <c r="F41" s="255">
        <v>0</v>
      </c>
      <c r="G41" s="255"/>
    </row>
    <row r="42" spans="1:7" s="187" customFormat="1" ht="15" customHeight="1" x14ac:dyDescent="0.2">
      <c r="A42" s="184"/>
      <c r="B42" s="200" t="s">
        <v>19</v>
      </c>
      <c r="C42" s="15" t="s">
        <v>817</v>
      </c>
      <c r="D42" s="255">
        <v>0</v>
      </c>
      <c r="E42" s="255">
        <v>0</v>
      </c>
      <c r="F42" s="255">
        <v>0</v>
      </c>
      <c r="G42" s="255"/>
    </row>
    <row r="43" spans="1:7" s="187" customFormat="1" ht="15" customHeight="1" x14ac:dyDescent="0.2">
      <c r="A43" s="180" t="s">
        <v>20</v>
      </c>
      <c r="B43" s="12"/>
      <c r="C43" s="67" t="s">
        <v>818</v>
      </c>
      <c r="D43" s="220">
        <v>0</v>
      </c>
      <c r="E43" s="220">
        <v>0</v>
      </c>
      <c r="F43" s="220">
        <v>0</v>
      </c>
      <c r="G43" s="220"/>
    </row>
    <row r="44" spans="1:7" s="187" customFormat="1" ht="15" customHeight="1" x14ac:dyDescent="0.2">
      <c r="A44" s="180"/>
      <c r="B44" s="12"/>
      <c r="C44" s="67" t="s">
        <v>819</v>
      </c>
      <c r="D44" s="220"/>
      <c r="E44" s="220"/>
      <c r="F44" s="220"/>
      <c r="G44" s="220"/>
    </row>
    <row r="45" spans="1:7" s="187" customFormat="1" ht="15" customHeight="1" x14ac:dyDescent="0.2">
      <c r="A45" s="268" t="s">
        <v>150</v>
      </c>
      <c r="B45" s="269"/>
      <c r="C45" s="480" t="s">
        <v>820</v>
      </c>
      <c r="D45" s="270">
        <f>+D32+D38+D43</f>
        <v>57643</v>
      </c>
      <c r="E45" s="270">
        <f>+E32+E38+E43+E44</f>
        <v>0</v>
      </c>
      <c r="F45" s="270">
        <f>+F32+F38+F43+F44</f>
        <v>0</v>
      </c>
      <c r="G45" s="270" t="e">
        <f>F45/E45*100</f>
        <v>#DIV/0!</v>
      </c>
    </row>
    <row r="46" spans="1:7" s="187" customFormat="1" ht="15" customHeight="1" x14ac:dyDescent="0.2">
      <c r="A46" s="242"/>
      <c r="B46" s="243"/>
      <c r="C46" s="243"/>
      <c r="D46" s="243"/>
      <c r="E46" s="243"/>
      <c r="F46" s="243"/>
      <c r="G46" s="243"/>
    </row>
    <row r="47" spans="1:7" s="187" customFormat="1" ht="15" customHeight="1" x14ac:dyDescent="0.2">
      <c r="A47" s="244" t="s">
        <v>297</v>
      </c>
      <c r="B47" s="245"/>
      <c r="C47" s="246"/>
      <c r="D47" s="247">
        <v>21</v>
      </c>
      <c r="E47" s="247"/>
      <c r="F47" s="247"/>
      <c r="G47" s="247"/>
    </row>
    <row r="48" spans="1:7" s="187" customFormat="1" ht="15" customHeight="1" x14ac:dyDescent="0.2">
      <c r="A48" s="244" t="s">
        <v>298</v>
      </c>
      <c r="B48" s="245"/>
      <c r="C48" s="246"/>
      <c r="D48" s="482"/>
      <c r="E48" s="482"/>
      <c r="F48" s="482"/>
      <c r="G48" s="482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23622047244094491" right="0.27559055118110237" top="0.39370078740157483" bottom="0.35433070866141736" header="0.19685039370078741" footer="0.15748031496062992"/>
  <pageSetup paperSize="9" firstPageNumber="77" orientation="portrait" useFirstPageNumber="1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30" workbookViewId="0">
      <selection activeCell="C17" sqref="C17:C19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1.5" style="162" customWidth="1"/>
    <col min="4" max="4" width="19" style="162" customWidth="1"/>
    <col min="5" max="6" width="13.33203125" style="162" hidden="1" customWidth="1"/>
    <col min="7" max="7" width="9.83203125" style="162" hidden="1" customWidth="1"/>
    <col min="8" max="16384" width="9.33203125" style="162"/>
  </cols>
  <sheetData>
    <row r="1" spans="1:7" s="536" customFormat="1" ht="15" customHeight="1" x14ac:dyDescent="0.2">
      <c r="A1" s="446"/>
      <c r="B1" s="447"/>
      <c r="C1" s="448"/>
      <c r="D1" s="1609" t="s">
        <v>1612</v>
      </c>
      <c r="E1" s="1609"/>
      <c r="F1" s="1609"/>
      <c r="G1" s="1609"/>
    </row>
    <row r="2" spans="1:7" s="537" customFormat="1" ht="30" customHeight="1" x14ac:dyDescent="0.2">
      <c r="A2" s="1573" t="s">
        <v>796</v>
      </c>
      <c r="B2" s="1573"/>
      <c r="C2" s="163" t="s">
        <v>877</v>
      </c>
      <c r="D2" s="1615" t="s">
        <v>1481</v>
      </c>
      <c r="E2" s="469"/>
      <c r="F2" s="469"/>
      <c r="G2" s="469"/>
    </row>
    <row r="3" spans="1:7" s="537" customFormat="1" ht="30" customHeight="1" x14ac:dyDescent="0.2">
      <c r="A3" s="1573" t="s">
        <v>264</v>
      </c>
      <c r="B3" s="1573"/>
      <c r="C3" s="166" t="s">
        <v>878</v>
      </c>
      <c r="D3" s="1616"/>
      <c r="E3" s="450"/>
      <c r="F3" s="450"/>
      <c r="G3" s="450"/>
    </row>
    <row r="4" spans="1:7" s="537" customFormat="1" ht="15" customHeight="1" x14ac:dyDescent="0.25">
      <c r="A4" s="167"/>
      <c r="B4" s="167"/>
      <c r="C4" s="167"/>
      <c r="D4" s="1590" t="s">
        <v>1482</v>
      </c>
      <c r="E4" s="1590"/>
      <c r="F4" s="1590"/>
      <c r="G4" s="168" t="s">
        <v>196</v>
      </c>
    </row>
    <row r="5" spans="1:7" s="187" customFormat="1" ht="33.7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538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538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10033</v>
      </c>
      <c r="E8" s="254">
        <f>SUM(E9:E16)</f>
        <v>0</v>
      </c>
      <c r="F8" s="254">
        <f>SUM(F9:F16)</f>
        <v>0</v>
      </c>
      <c r="G8" s="254" t="e">
        <f>F8/E8*100</f>
        <v>#DIV/0!</v>
      </c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>
        <v>0</v>
      </c>
      <c r="E9" s="257">
        <v>0</v>
      </c>
      <c r="F9" s="257">
        <v>0</v>
      </c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>
        <v>5900</v>
      </c>
      <c r="E10" s="255"/>
      <c r="F10" s="255"/>
      <c r="G10" s="255" t="e">
        <f>F10/E10*100</f>
        <v>#DIV/0!</v>
      </c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>
        <v>2000</v>
      </c>
      <c r="E11" s="255"/>
      <c r="F11" s="255"/>
      <c r="G11" s="255" t="e">
        <f>F11/E11*100</f>
        <v>#DIV/0!</v>
      </c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/>
      <c r="E12" s="255"/>
      <c r="F12" s="255"/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/>
      <c r="E13" s="255"/>
      <c r="F13" s="255"/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>
        <v>2133</v>
      </c>
      <c r="E14" s="256"/>
      <c r="F14" s="256"/>
      <c r="G14" s="256" t="e">
        <f>F14/E14*100</f>
        <v>#DIV/0!</v>
      </c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/>
      <c r="E15" s="255"/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>
        <v>0</v>
      </c>
      <c r="E16" s="258">
        <v>0</v>
      </c>
      <c r="F16" s="258">
        <v>0</v>
      </c>
      <c r="G16" s="258"/>
    </row>
    <row r="17" spans="1:9" s="183" customFormat="1" ht="15" customHeight="1" x14ac:dyDescent="0.2">
      <c r="A17" s="180" t="s">
        <v>6</v>
      </c>
      <c r="B17" s="181"/>
      <c r="C17" s="222" t="s">
        <v>1963</v>
      </c>
      <c r="D17" s="254">
        <f>SUM(D18:D21)</f>
        <v>11613</v>
      </c>
      <c r="E17" s="254">
        <f>SUM(E18:E21)</f>
        <v>0</v>
      </c>
      <c r="F17" s="254">
        <f>SUM(F18:F21)</f>
        <v>0</v>
      </c>
      <c r="G17" s="254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1964</v>
      </c>
      <c r="D18" s="255">
        <v>11613</v>
      </c>
      <c r="E18" s="255"/>
      <c r="F18" s="255"/>
      <c r="G18" s="255" t="e">
        <f>F18/E18*100</f>
        <v>#DIV/0!</v>
      </c>
    </row>
    <row r="19" spans="1:9" s="187" customFormat="1" ht="15" customHeight="1" x14ac:dyDescent="0.2">
      <c r="A19" s="184"/>
      <c r="B19" s="185" t="s">
        <v>9</v>
      </c>
      <c r="C19" s="15" t="s">
        <v>1965</v>
      </c>
      <c r="D19" s="255">
        <v>0</v>
      </c>
      <c r="E19" s="255"/>
      <c r="F19" s="255"/>
      <c r="G19" s="255"/>
    </row>
    <row r="20" spans="1:9" s="187" customFormat="1" ht="15" customHeight="1" x14ac:dyDescent="0.2">
      <c r="A20" s="184"/>
      <c r="B20" s="185" t="s">
        <v>11</v>
      </c>
      <c r="C20" s="15" t="s">
        <v>802</v>
      </c>
      <c r="D20" s="255">
        <v>0</v>
      </c>
      <c r="E20" s="255">
        <v>0</v>
      </c>
      <c r="F20" s="255">
        <v>0</v>
      </c>
      <c r="G20" s="255"/>
    </row>
    <row r="21" spans="1:9" s="187" customFormat="1" ht="15" customHeight="1" x14ac:dyDescent="0.2">
      <c r="A21" s="184"/>
      <c r="B21" s="185" t="s">
        <v>13</v>
      </c>
      <c r="C21" s="15" t="s">
        <v>803</v>
      </c>
      <c r="D21" s="255">
        <v>0</v>
      </c>
      <c r="E21" s="255">
        <v>0</v>
      </c>
      <c r="F21" s="255">
        <v>0</v>
      </c>
      <c r="G21" s="255"/>
    </row>
    <row r="22" spans="1:9" s="187" customFormat="1" ht="15" customHeight="1" x14ac:dyDescent="0.2">
      <c r="A22" s="180" t="s">
        <v>20</v>
      </c>
      <c r="B22" s="12"/>
      <c r="C22" s="12" t="s">
        <v>804</v>
      </c>
      <c r="D22" s="220">
        <v>0</v>
      </c>
      <c r="E22" s="220">
        <v>0</v>
      </c>
      <c r="F22" s="220">
        <v>0</v>
      </c>
      <c r="G22" s="220"/>
    </row>
    <row r="23" spans="1:9" s="183" customFormat="1" ht="15" customHeight="1" x14ac:dyDescent="0.2">
      <c r="A23" s="180" t="s">
        <v>150</v>
      </c>
      <c r="B23" s="181"/>
      <c r="C23" s="12" t="s">
        <v>846</v>
      </c>
      <c r="D23" s="220">
        <v>0</v>
      </c>
      <c r="E23" s="220">
        <v>0</v>
      </c>
      <c r="F23" s="220">
        <v>0</v>
      </c>
      <c r="G23" s="220"/>
    </row>
    <row r="24" spans="1:9" s="183" customFormat="1" ht="15" customHeight="1" x14ac:dyDescent="0.2">
      <c r="A24" s="180" t="s">
        <v>39</v>
      </c>
      <c r="B24" s="209"/>
      <c r="C24" s="12" t="s">
        <v>847</v>
      </c>
      <c r="D24" s="266">
        <f>+D25+D26</f>
        <v>0</v>
      </c>
      <c r="E24" s="266">
        <f>+E25+E26</f>
        <v>0</v>
      </c>
      <c r="F24" s="266">
        <f>+F25+F26</f>
        <v>0</v>
      </c>
      <c r="G24" s="266"/>
    </row>
    <row r="25" spans="1:9" s="183" customFormat="1" ht="15" customHeight="1" x14ac:dyDescent="0.2">
      <c r="A25" s="192"/>
      <c r="B25" s="199" t="s">
        <v>40</v>
      </c>
      <c r="C25" s="19" t="s">
        <v>808</v>
      </c>
      <c r="D25" s="267">
        <v>0</v>
      </c>
      <c r="E25" s="267">
        <v>0</v>
      </c>
      <c r="F25" s="267">
        <v>0</v>
      </c>
      <c r="G25" s="267"/>
    </row>
    <row r="26" spans="1:9" s="183" customFormat="1" ht="15" customHeight="1" x14ac:dyDescent="0.2">
      <c r="A26" s="202"/>
      <c r="B26" s="203" t="s">
        <v>41</v>
      </c>
      <c r="C26" s="24" t="s">
        <v>809</v>
      </c>
      <c r="D26" s="261">
        <v>0</v>
      </c>
      <c r="E26" s="261">
        <v>0</v>
      </c>
      <c r="F26" s="261">
        <v>0</v>
      </c>
      <c r="G26" s="261"/>
    </row>
    <row r="27" spans="1:9" s="187" customFormat="1" ht="15" customHeight="1" x14ac:dyDescent="0.25">
      <c r="A27" s="212" t="s">
        <v>49</v>
      </c>
      <c r="B27" s="213"/>
      <c r="C27" s="12" t="s">
        <v>848</v>
      </c>
      <c r="D27" s="220">
        <v>75958</v>
      </c>
      <c r="E27" s="220"/>
      <c r="F27" s="220"/>
      <c r="G27" s="220" t="e">
        <f>F27/E27*100</f>
        <v>#DIV/0!</v>
      </c>
      <c r="I27" s="201">
        <f>SUM(D32-D29)</f>
        <v>0</v>
      </c>
    </row>
    <row r="28" spans="1:9" s="187" customFormat="1" ht="15" customHeight="1" x14ac:dyDescent="0.25">
      <c r="A28" s="212"/>
      <c r="B28" s="213"/>
      <c r="C28" s="12" t="s">
        <v>849</v>
      </c>
      <c r="D28" s="220"/>
      <c r="E28" s="220"/>
      <c r="F28" s="220"/>
      <c r="G28" s="220"/>
    </row>
    <row r="29" spans="1:9" s="187" customFormat="1" ht="15" customHeight="1" x14ac:dyDescent="0.2">
      <c r="A29" s="268" t="s">
        <v>179</v>
      </c>
      <c r="B29" s="269"/>
      <c r="C29" s="480" t="s">
        <v>850</v>
      </c>
      <c r="D29" s="270">
        <f>SUM(D8,D17,D22,D23,D24,D27)</f>
        <v>97604</v>
      </c>
      <c r="E29" s="270">
        <f>SUM(E8,E17,E22,E23,E24,E27,E28)</f>
        <v>0</v>
      </c>
      <c r="F29" s="270">
        <f>SUM(F8,F17,F22,F23,F24,F27,F28)</f>
        <v>0</v>
      </c>
      <c r="G29" s="270" t="e">
        <f>F29/E29*100</f>
        <v>#DIV/0!</v>
      </c>
      <c r="I29" s="201"/>
    </row>
    <row r="30" spans="1:9" s="187" customFormat="1" ht="15" customHeight="1" x14ac:dyDescent="0.2">
      <c r="A30" s="462"/>
      <c r="B30" s="462"/>
      <c r="C30" s="481"/>
      <c r="D30" s="514"/>
      <c r="E30" s="514"/>
      <c r="F30" s="514"/>
      <c r="G30" s="514"/>
    </row>
    <row r="31" spans="1:9" s="538" customFormat="1" ht="15" customHeight="1" x14ac:dyDescent="0.2">
      <c r="A31" s="268"/>
      <c r="B31" s="269"/>
      <c r="C31" s="513" t="s">
        <v>199</v>
      </c>
      <c r="D31" s="270"/>
      <c r="E31" s="270"/>
      <c r="F31" s="270"/>
      <c r="G31" s="270"/>
    </row>
    <row r="32" spans="1:9" s="183" customFormat="1" ht="15" customHeight="1" x14ac:dyDescent="0.2">
      <c r="A32" s="180" t="s">
        <v>5</v>
      </c>
      <c r="B32" s="12"/>
      <c r="C32" s="67" t="s">
        <v>102</v>
      </c>
      <c r="D32" s="254">
        <f>SUM(D33:D37)</f>
        <v>97604</v>
      </c>
      <c r="E32" s="254">
        <f>SUM(E33:E37)</f>
        <v>0</v>
      </c>
      <c r="F32" s="254">
        <f>SUM(F33:F37)</f>
        <v>0</v>
      </c>
      <c r="G32" s="254" t="e">
        <f>F32/E32*100</f>
        <v>#DIV/0!</v>
      </c>
    </row>
    <row r="33" spans="1:7" s="187" customFormat="1" ht="15" customHeight="1" x14ac:dyDescent="0.2">
      <c r="A33" s="204"/>
      <c r="B33" s="231" t="s">
        <v>103</v>
      </c>
      <c r="C33" s="27" t="s">
        <v>104</v>
      </c>
      <c r="D33" s="262">
        <v>28809</v>
      </c>
      <c r="E33" s="262"/>
      <c r="F33" s="262"/>
      <c r="G33" s="262" t="e">
        <f>F33/E33*100</f>
        <v>#DIV/0!</v>
      </c>
    </row>
    <row r="34" spans="1:7" s="187" customFormat="1" ht="15" customHeight="1" x14ac:dyDescent="0.2">
      <c r="A34" s="184"/>
      <c r="B34" s="200" t="s">
        <v>105</v>
      </c>
      <c r="C34" s="15" t="s">
        <v>106</v>
      </c>
      <c r="D34" s="255">
        <v>7733</v>
      </c>
      <c r="E34" s="255"/>
      <c r="F34" s="255"/>
      <c r="G34" s="255" t="e">
        <f>F34/E34*100</f>
        <v>#DIV/0!</v>
      </c>
    </row>
    <row r="35" spans="1:7" s="187" customFormat="1" ht="15" customHeight="1" x14ac:dyDescent="0.2">
      <c r="A35" s="184"/>
      <c r="B35" s="200" t="s">
        <v>107</v>
      </c>
      <c r="C35" s="15" t="s">
        <v>108</v>
      </c>
      <c r="D35" s="1048">
        <v>61062</v>
      </c>
      <c r="E35" s="255"/>
      <c r="F35" s="255"/>
      <c r="G35" s="255" t="e">
        <f>F35/E35*100</f>
        <v>#DIV/0!</v>
      </c>
    </row>
    <row r="36" spans="1:7" s="187" customFormat="1" ht="15" customHeight="1" x14ac:dyDescent="0.2">
      <c r="A36" s="184"/>
      <c r="B36" s="200" t="s">
        <v>109</v>
      </c>
      <c r="C36" s="15" t="s">
        <v>110</v>
      </c>
      <c r="D36" s="255"/>
      <c r="E36" s="255"/>
      <c r="F36" s="255"/>
      <c r="G36" s="255"/>
    </row>
    <row r="37" spans="1:7" s="187" customFormat="1" ht="15" customHeight="1" x14ac:dyDescent="0.2">
      <c r="A37" s="184"/>
      <c r="B37" s="200" t="s">
        <v>111</v>
      </c>
      <c r="C37" s="15" t="s">
        <v>112</v>
      </c>
      <c r="D37" s="255">
        <v>0</v>
      </c>
      <c r="E37" s="255">
        <v>0</v>
      </c>
      <c r="F37" s="255">
        <v>0</v>
      </c>
      <c r="G37" s="255"/>
    </row>
    <row r="38" spans="1:7" s="187" customFormat="1" ht="15" customHeight="1" x14ac:dyDescent="0.2">
      <c r="A38" s="180" t="s">
        <v>6</v>
      </c>
      <c r="B38" s="12"/>
      <c r="C38" s="67" t="s">
        <v>823</v>
      </c>
      <c r="D38" s="254">
        <f>SUM(D39:D42)</f>
        <v>0</v>
      </c>
      <c r="E38" s="254">
        <f>SUM(E39:E42)</f>
        <v>0</v>
      </c>
      <c r="F38" s="254">
        <f>SUM(F39:F42)</f>
        <v>0</v>
      </c>
      <c r="G38" s="254"/>
    </row>
    <row r="39" spans="1:7" s="183" customFormat="1" ht="15" customHeight="1" x14ac:dyDescent="0.2">
      <c r="A39" s="204"/>
      <c r="B39" s="231" t="s">
        <v>7</v>
      </c>
      <c r="C39" s="27" t="s">
        <v>816</v>
      </c>
      <c r="D39" s="262">
        <v>0</v>
      </c>
      <c r="E39" s="262">
        <v>0</v>
      </c>
      <c r="F39" s="262">
        <v>0</v>
      </c>
      <c r="G39" s="262"/>
    </row>
    <row r="40" spans="1:7" s="187" customFormat="1" ht="15" customHeight="1" x14ac:dyDescent="0.2">
      <c r="A40" s="184"/>
      <c r="B40" s="200" t="s">
        <v>9</v>
      </c>
      <c r="C40" s="15" t="s">
        <v>135</v>
      </c>
      <c r="D40" s="255">
        <v>0</v>
      </c>
      <c r="E40" s="255">
        <v>0</v>
      </c>
      <c r="F40" s="255">
        <v>0</v>
      </c>
      <c r="G40" s="255"/>
    </row>
    <row r="41" spans="1:7" s="187" customFormat="1" ht="30" customHeight="1" x14ac:dyDescent="0.2">
      <c r="A41" s="184"/>
      <c r="B41" s="200" t="s">
        <v>15</v>
      </c>
      <c r="C41" s="15" t="s">
        <v>138</v>
      </c>
      <c r="D41" s="255">
        <v>0</v>
      </c>
      <c r="E41" s="255">
        <v>0</v>
      </c>
      <c r="F41" s="255">
        <v>0</v>
      </c>
      <c r="G41" s="255"/>
    </row>
    <row r="42" spans="1:7" s="187" customFormat="1" ht="15" customHeight="1" x14ac:dyDescent="0.2">
      <c r="A42" s="184"/>
      <c r="B42" s="200" t="s">
        <v>19</v>
      </c>
      <c r="C42" s="15" t="s">
        <v>817</v>
      </c>
      <c r="D42" s="255">
        <v>0</v>
      </c>
      <c r="E42" s="255">
        <v>0</v>
      </c>
      <c r="F42" s="255">
        <v>0</v>
      </c>
      <c r="G42" s="255"/>
    </row>
    <row r="43" spans="1:7" s="187" customFormat="1" ht="15" customHeight="1" x14ac:dyDescent="0.2">
      <c r="A43" s="180" t="s">
        <v>20</v>
      </c>
      <c r="B43" s="12"/>
      <c r="C43" s="67" t="s">
        <v>818</v>
      </c>
      <c r="D43" s="220">
        <v>0</v>
      </c>
      <c r="E43" s="220">
        <v>0</v>
      </c>
      <c r="F43" s="220">
        <v>0</v>
      </c>
      <c r="G43" s="220"/>
    </row>
    <row r="44" spans="1:7" s="187" customFormat="1" ht="15" customHeight="1" x14ac:dyDescent="0.2">
      <c r="A44" s="180"/>
      <c r="B44" s="12"/>
      <c r="C44" s="67" t="s">
        <v>819</v>
      </c>
      <c r="D44" s="220"/>
      <c r="E44" s="220"/>
      <c r="F44" s="220"/>
      <c r="G44" s="220"/>
    </row>
    <row r="45" spans="1:7" s="187" customFormat="1" ht="15" customHeight="1" x14ac:dyDescent="0.2">
      <c r="A45" s="268" t="s">
        <v>150</v>
      </c>
      <c r="B45" s="269"/>
      <c r="C45" s="480" t="s">
        <v>820</v>
      </c>
      <c r="D45" s="270">
        <f>+D32+D38+D43</f>
        <v>97604</v>
      </c>
      <c r="E45" s="270">
        <f>+E32+E38+E43+E44</f>
        <v>0</v>
      </c>
      <c r="F45" s="270">
        <f>+F32+F38+F43+F44</f>
        <v>0</v>
      </c>
      <c r="G45" s="270" t="e">
        <f>F45/E45*100</f>
        <v>#DIV/0!</v>
      </c>
    </row>
    <row r="46" spans="1:7" s="187" customFormat="1" ht="15" customHeight="1" x14ac:dyDescent="0.2">
      <c r="A46" s="242"/>
      <c r="B46" s="243"/>
      <c r="C46" s="243"/>
      <c r="D46" s="243"/>
      <c r="E46" s="243"/>
      <c r="F46" s="243"/>
      <c r="G46" s="243"/>
    </row>
    <row r="47" spans="1:7" s="187" customFormat="1" ht="15" customHeight="1" x14ac:dyDescent="0.2">
      <c r="A47" s="244" t="s">
        <v>297</v>
      </c>
      <c r="B47" s="245"/>
      <c r="C47" s="246"/>
      <c r="D47" s="247">
        <v>14</v>
      </c>
      <c r="E47" s="247"/>
      <c r="F47" s="247"/>
      <c r="G47" s="247"/>
    </row>
    <row r="48" spans="1:7" s="187" customFormat="1" ht="15" customHeight="1" x14ac:dyDescent="0.2">
      <c r="A48" s="244" t="s">
        <v>298</v>
      </c>
      <c r="B48" s="245"/>
      <c r="C48" s="246"/>
      <c r="D48" s="482"/>
      <c r="E48" s="482"/>
      <c r="F48" s="482"/>
      <c r="G48" s="482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31496062992125984" right="0.27559055118110237" top="0.51181102362204722" bottom="0.35433070866141736" header="0.51181102362204722" footer="0.15748031496062992"/>
  <pageSetup paperSize="9" firstPageNumber="78" orientation="portrait" useFirstPageNumber="1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4" zoomScaleNormal="130" workbookViewId="0">
      <selection activeCell="C17" sqref="C17:C19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1.5" style="162" customWidth="1"/>
    <col min="4" max="4" width="19.83203125" style="162" customWidth="1"/>
    <col min="5" max="6" width="13.33203125" style="162" hidden="1" customWidth="1"/>
    <col min="7" max="7" width="9.83203125" style="162" hidden="1" customWidth="1"/>
    <col min="8" max="16384" width="9.33203125" style="162"/>
  </cols>
  <sheetData>
    <row r="1" spans="1:7" s="536" customFormat="1" ht="15" customHeight="1" x14ac:dyDescent="0.2">
      <c r="A1" s="446"/>
      <c r="B1" s="447"/>
      <c r="C1" s="448"/>
      <c r="D1" s="1609" t="s">
        <v>869</v>
      </c>
      <c r="E1" s="1609"/>
      <c r="F1" s="1609"/>
      <c r="G1" s="1609"/>
    </row>
    <row r="2" spans="1:7" s="537" customFormat="1" ht="30" customHeight="1" x14ac:dyDescent="0.2">
      <c r="A2" s="1573" t="s">
        <v>796</v>
      </c>
      <c r="B2" s="1573"/>
      <c r="C2" s="163" t="s">
        <v>879</v>
      </c>
      <c r="D2" s="1615" t="s">
        <v>1481</v>
      </c>
      <c r="E2" s="469"/>
      <c r="F2" s="469"/>
      <c r="G2" s="469"/>
    </row>
    <row r="3" spans="1:7" s="537" customFormat="1" ht="30" customHeight="1" x14ac:dyDescent="0.2">
      <c r="A3" s="1573" t="s">
        <v>264</v>
      </c>
      <c r="B3" s="1573"/>
      <c r="C3" s="166" t="s">
        <v>880</v>
      </c>
      <c r="D3" s="1616"/>
      <c r="E3" s="450"/>
      <c r="F3" s="450"/>
      <c r="G3" s="450"/>
    </row>
    <row r="4" spans="1:7" s="537" customFormat="1" ht="15" customHeight="1" x14ac:dyDescent="0.25">
      <c r="A4" s="167"/>
      <c r="B4" s="167"/>
      <c r="C4" s="167"/>
      <c r="D4" s="1590" t="s">
        <v>1482</v>
      </c>
      <c r="E4" s="1590"/>
      <c r="F4" s="1590"/>
      <c r="G4" s="168"/>
    </row>
    <row r="5" spans="1:7" s="187" customFormat="1" ht="37.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538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538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685</v>
      </c>
      <c r="E8" s="254">
        <f>SUM(E9:E16)</f>
        <v>0</v>
      </c>
      <c r="F8" s="254">
        <f>SUM(F9:F16)</f>
        <v>0</v>
      </c>
      <c r="G8" s="254" t="e">
        <f>F8/E8*100</f>
        <v>#DIV/0!</v>
      </c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>
        <v>0</v>
      </c>
      <c r="E9" s="257">
        <v>0</v>
      </c>
      <c r="F9" s="257">
        <v>0</v>
      </c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>
        <v>485</v>
      </c>
      <c r="E10" s="255"/>
      <c r="F10" s="255"/>
      <c r="G10" s="255" t="e">
        <f>F10/E10*100</f>
        <v>#DIV/0!</v>
      </c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>
        <v>200</v>
      </c>
      <c r="E11" s="255"/>
      <c r="F11" s="255"/>
      <c r="G11" s="255" t="e">
        <f>F11/E11*100</f>
        <v>#DIV/0!</v>
      </c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/>
      <c r="E12" s="255"/>
      <c r="F12" s="255"/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/>
      <c r="E13" s="255"/>
      <c r="F13" s="255"/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/>
      <c r="E14" s="256"/>
      <c r="F14" s="256"/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/>
      <c r="E15" s="255"/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>
        <v>0</v>
      </c>
      <c r="E16" s="258">
        <v>0</v>
      </c>
      <c r="F16" s="258">
        <v>0</v>
      </c>
      <c r="G16" s="258"/>
    </row>
    <row r="17" spans="1:9" s="183" customFormat="1" ht="15" customHeight="1" x14ac:dyDescent="0.2">
      <c r="A17" s="180" t="s">
        <v>6</v>
      </c>
      <c r="B17" s="181"/>
      <c r="C17" s="222" t="s">
        <v>1963</v>
      </c>
      <c r="D17" s="254">
        <f>SUM(D18:D21)</f>
        <v>11613</v>
      </c>
      <c r="E17" s="254">
        <f>SUM(E18:E21)</f>
        <v>0</v>
      </c>
      <c r="F17" s="254">
        <f>SUM(F18:F21)</f>
        <v>0</v>
      </c>
      <c r="G17" s="254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1964</v>
      </c>
      <c r="D18" s="255">
        <v>11613</v>
      </c>
      <c r="E18" s="255"/>
      <c r="F18" s="255"/>
      <c r="G18" s="255" t="e">
        <f>F18/E18*100</f>
        <v>#DIV/0!</v>
      </c>
    </row>
    <row r="19" spans="1:9" s="187" customFormat="1" ht="15" customHeight="1" x14ac:dyDescent="0.2">
      <c r="A19" s="184"/>
      <c r="B19" s="185" t="s">
        <v>9</v>
      </c>
      <c r="C19" s="15" t="s">
        <v>1965</v>
      </c>
      <c r="D19" s="255">
        <v>0</v>
      </c>
      <c r="E19" s="255"/>
      <c r="F19" s="255"/>
      <c r="G19" s="255"/>
    </row>
    <row r="20" spans="1:9" s="187" customFormat="1" ht="15" customHeight="1" x14ac:dyDescent="0.2">
      <c r="A20" s="184"/>
      <c r="B20" s="185" t="s">
        <v>11</v>
      </c>
      <c r="C20" s="15" t="s">
        <v>802</v>
      </c>
      <c r="D20" s="255">
        <v>0</v>
      </c>
      <c r="E20" s="255">
        <v>0</v>
      </c>
      <c r="F20" s="255">
        <v>0</v>
      </c>
      <c r="G20" s="255"/>
    </row>
    <row r="21" spans="1:9" s="187" customFormat="1" ht="15" customHeight="1" x14ac:dyDescent="0.2">
      <c r="A21" s="184"/>
      <c r="B21" s="185" t="s">
        <v>13</v>
      </c>
      <c r="C21" s="15" t="s">
        <v>803</v>
      </c>
      <c r="D21" s="255">
        <v>0</v>
      </c>
      <c r="E21" s="255">
        <v>0</v>
      </c>
      <c r="F21" s="255"/>
      <c r="G21" s="255"/>
    </row>
    <row r="22" spans="1:9" s="187" customFormat="1" ht="15" customHeight="1" x14ac:dyDescent="0.2">
      <c r="A22" s="180" t="s">
        <v>20</v>
      </c>
      <c r="B22" s="12"/>
      <c r="C22" s="12" t="s">
        <v>804</v>
      </c>
      <c r="D22" s="220">
        <v>0</v>
      </c>
      <c r="E22" s="220">
        <v>0</v>
      </c>
      <c r="F22" s="220">
        <v>0</v>
      </c>
      <c r="G22" s="220"/>
    </row>
    <row r="23" spans="1:9" s="183" customFormat="1" ht="15" customHeight="1" x14ac:dyDescent="0.2">
      <c r="A23" s="180" t="s">
        <v>150</v>
      </c>
      <c r="B23" s="181"/>
      <c r="C23" s="12" t="s">
        <v>846</v>
      </c>
      <c r="D23" s="220">
        <v>0</v>
      </c>
      <c r="E23" s="220">
        <v>0</v>
      </c>
      <c r="F23" s="220">
        <v>0</v>
      </c>
      <c r="G23" s="220"/>
    </row>
    <row r="24" spans="1:9" s="183" customFormat="1" ht="15" customHeight="1" x14ac:dyDescent="0.2">
      <c r="A24" s="180" t="s">
        <v>39</v>
      </c>
      <c r="B24" s="209"/>
      <c r="C24" s="12" t="s">
        <v>847</v>
      </c>
      <c r="D24" s="266">
        <f>+D25+D26</f>
        <v>0</v>
      </c>
      <c r="E24" s="266">
        <f>+E25+E26</f>
        <v>0</v>
      </c>
      <c r="F24" s="266">
        <f>+F25+F26</f>
        <v>0</v>
      </c>
      <c r="G24" s="266"/>
    </row>
    <row r="25" spans="1:9" s="183" customFormat="1" ht="15" customHeight="1" x14ac:dyDescent="0.2">
      <c r="A25" s="192"/>
      <c r="B25" s="199" t="s">
        <v>40</v>
      </c>
      <c r="C25" s="19" t="s">
        <v>808</v>
      </c>
      <c r="D25" s="267">
        <v>0</v>
      </c>
      <c r="E25" s="267">
        <v>0</v>
      </c>
      <c r="F25" s="267">
        <v>0</v>
      </c>
      <c r="G25" s="267"/>
    </row>
    <row r="26" spans="1:9" s="183" customFormat="1" ht="15" customHeight="1" x14ac:dyDescent="0.2">
      <c r="A26" s="202"/>
      <c r="B26" s="203" t="s">
        <v>41</v>
      </c>
      <c r="C26" s="24" t="s">
        <v>809</v>
      </c>
      <c r="D26" s="261">
        <v>0</v>
      </c>
      <c r="E26" s="261">
        <v>0</v>
      </c>
      <c r="F26" s="261">
        <v>0</v>
      </c>
      <c r="G26" s="261"/>
    </row>
    <row r="27" spans="1:9" s="187" customFormat="1" ht="15" customHeight="1" x14ac:dyDescent="0.25">
      <c r="A27" s="212" t="s">
        <v>49</v>
      </c>
      <c r="B27" s="213"/>
      <c r="C27" s="12" t="s">
        <v>848</v>
      </c>
      <c r="D27" s="220">
        <v>19426</v>
      </c>
      <c r="E27" s="220"/>
      <c r="F27" s="220"/>
      <c r="G27" s="220" t="e">
        <f>F27/E27*100</f>
        <v>#DIV/0!</v>
      </c>
      <c r="I27" s="201">
        <f>SUM(D32-D29)</f>
        <v>0</v>
      </c>
    </row>
    <row r="28" spans="1:9" s="187" customFormat="1" ht="15" customHeight="1" x14ac:dyDescent="0.25">
      <c r="A28" s="212"/>
      <c r="B28" s="213"/>
      <c r="C28" s="12" t="s">
        <v>849</v>
      </c>
      <c r="D28" s="220"/>
      <c r="E28" s="220"/>
      <c r="F28" s="220"/>
      <c r="G28" s="220"/>
    </row>
    <row r="29" spans="1:9" s="187" customFormat="1" ht="15" customHeight="1" x14ac:dyDescent="0.2">
      <c r="A29" s="268" t="s">
        <v>179</v>
      </c>
      <c r="B29" s="269"/>
      <c r="C29" s="480" t="s">
        <v>850</v>
      </c>
      <c r="D29" s="270">
        <f>SUM(D8,D17,D22,D23,D24,D27)</f>
        <v>31724</v>
      </c>
      <c r="E29" s="270">
        <f>SUM(E8,E17,E22,E23,E24,E27,E28)</f>
        <v>0</v>
      </c>
      <c r="F29" s="270">
        <f>SUM(F8,F17,F22,F23,F24,F27,F28)</f>
        <v>0</v>
      </c>
      <c r="G29" s="270" t="e">
        <f>F29/E29*100</f>
        <v>#DIV/0!</v>
      </c>
      <c r="I29" s="201"/>
    </row>
    <row r="30" spans="1:9" s="187" customFormat="1" ht="15" customHeight="1" x14ac:dyDescent="0.2">
      <c r="A30" s="462"/>
      <c r="B30" s="462"/>
      <c r="C30" s="481"/>
      <c r="D30" s="514"/>
      <c r="E30" s="514"/>
      <c r="F30" s="514"/>
      <c r="G30" s="514"/>
    </row>
    <row r="31" spans="1:9" s="538" customFormat="1" ht="15" customHeight="1" x14ac:dyDescent="0.2">
      <c r="A31" s="268"/>
      <c r="B31" s="269"/>
      <c r="C31" s="513" t="s">
        <v>199</v>
      </c>
      <c r="D31" s="270"/>
      <c r="E31" s="270"/>
      <c r="F31" s="270"/>
      <c r="G31" s="270"/>
    </row>
    <row r="32" spans="1:9" s="183" customFormat="1" ht="15" customHeight="1" x14ac:dyDescent="0.2">
      <c r="A32" s="180" t="s">
        <v>5</v>
      </c>
      <c r="B32" s="12"/>
      <c r="C32" s="67" t="s">
        <v>102</v>
      </c>
      <c r="D32" s="254">
        <f>SUM(D33:D37)</f>
        <v>31724</v>
      </c>
      <c r="E32" s="254">
        <f>SUM(E33:E37)</f>
        <v>0</v>
      </c>
      <c r="F32" s="254">
        <f>SUM(F33:F37)</f>
        <v>0</v>
      </c>
      <c r="G32" s="254" t="e">
        <f>F32/E32*100</f>
        <v>#DIV/0!</v>
      </c>
    </row>
    <row r="33" spans="1:7" s="187" customFormat="1" ht="15" customHeight="1" x14ac:dyDescent="0.2">
      <c r="A33" s="204"/>
      <c r="B33" s="231" t="s">
        <v>103</v>
      </c>
      <c r="C33" s="27" t="s">
        <v>104</v>
      </c>
      <c r="D33" s="262">
        <v>14740</v>
      </c>
      <c r="E33" s="262"/>
      <c r="F33" s="262"/>
      <c r="G33" s="262" t="e">
        <f>F33/E33*100</f>
        <v>#DIV/0!</v>
      </c>
    </row>
    <row r="34" spans="1:7" s="187" customFormat="1" ht="15" customHeight="1" x14ac:dyDescent="0.2">
      <c r="A34" s="184"/>
      <c r="B34" s="200" t="s">
        <v>105</v>
      </c>
      <c r="C34" s="15" t="s">
        <v>106</v>
      </c>
      <c r="D34" s="255">
        <v>3918</v>
      </c>
      <c r="E34" s="255"/>
      <c r="F34" s="255"/>
      <c r="G34" s="255" t="e">
        <f>F34/E34*100</f>
        <v>#DIV/0!</v>
      </c>
    </row>
    <row r="35" spans="1:7" s="187" customFormat="1" ht="15" customHeight="1" x14ac:dyDescent="0.2">
      <c r="A35" s="184"/>
      <c r="B35" s="200" t="s">
        <v>107</v>
      </c>
      <c r="C35" s="15" t="s">
        <v>108</v>
      </c>
      <c r="D35" s="1048">
        <v>13066</v>
      </c>
      <c r="E35" s="255"/>
      <c r="F35" s="255"/>
      <c r="G35" s="255" t="e">
        <f>F35/E35*100</f>
        <v>#DIV/0!</v>
      </c>
    </row>
    <row r="36" spans="1:7" s="187" customFormat="1" ht="15" customHeight="1" x14ac:dyDescent="0.2">
      <c r="A36" s="184"/>
      <c r="B36" s="200" t="s">
        <v>109</v>
      </c>
      <c r="C36" s="15" t="s">
        <v>110</v>
      </c>
      <c r="D36" s="255"/>
      <c r="E36" s="255"/>
      <c r="F36" s="255"/>
      <c r="G36" s="255"/>
    </row>
    <row r="37" spans="1:7" s="187" customFormat="1" ht="15" customHeight="1" x14ac:dyDescent="0.2">
      <c r="A37" s="184"/>
      <c r="B37" s="200" t="s">
        <v>111</v>
      </c>
      <c r="C37" s="15" t="s">
        <v>112</v>
      </c>
      <c r="D37" s="255"/>
      <c r="E37" s="255"/>
      <c r="F37" s="255"/>
      <c r="G37" s="255"/>
    </row>
    <row r="38" spans="1:7" s="187" customFormat="1" ht="15" customHeight="1" x14ac:dyDescent="0.2">
      <c r="A38" s="180" t="s">
        <v>6</v>
      </c>
      <c r="B38" s="12"/>
      <c r="C38" s="67" t="s">
        <v>823</v>
      </c>
      <c r="D38" s="254">
        <f>SUM(D39:D42)</f>
        <v>0</v>
      </c>
      <c r="E38" s="254">
        <f>SUM(E39:E42)</f>
        <v>0</v>
      </c>
      <c r="F38" s="254">
        <f>SUM(F39:F42)</f>
        <v>0</v>
      </c>
      <c r="G38" s="254"/>
    </row>
    <row r="39" spans="1:7" s="183" customFormat="1" ht="15" customHeight="1" x14ac:dyDescent="0.2">
      <c r="A39" s="204"/>
      <c r="B39" s="231" t="s">
        <v>7</v>
      </c>
      <c r="C39" s="27" t="s">
        <v>816</v>
      </c>
      <c r="D39" s="262">
        <v>0</v>
      </c>
      <c r="E39" s="262">
        <v>0</v>
      </c>
      <c r="F39" s="262">
        <v>0</v>
      </c>
      <c r="G39" s="262"/>
    </row>
    <row r="40" spans="1:7" s="187" customFormat="1" ht="15" customHeight="1" x14ac:dyDescent="0.2">
      <c r="A40" s="184"/>
      <c r="B40" s="200" t="s">
        <v>9</v>
      </c>
      <c r="C40" s="15" t="s">
        <v>135</v>
      </c>
      <c r="D40" s="255">
        <v>0</v>
      </c>
      <c r="E40" s="255">
        <v>0</v>
      </c>
      <c r="F40" s="255">
        <v>0</v>
      </c>
      <c r="G40" s="255"/>
    </row>
    <row r="41" spans="1:7" s="187" customFormat="1" ht="30" customHeight="1" x14ac:dyDescent="0.2">
      <c r="A41" s="184"/>
      <c r="B41" s="200" t="s">
        <v>15</v>
      </c>
      <c r="C41" s="15" t="s">
        <v>138</v>
      </c>
      <c r="D41" s="255">
        <v>0</v>
      </c>
      <c r="E41" s="255">
        <v>0</v>
      </c>
      <c r="F41" s="255">
        <v>0</v>
      </c>
      <c r="G41" s="255"/>
    </row>
    <row r="42" spans="1:7" s="187" customFormat="1" ht="15" customHeight="1" x14ac:dyDescent="0.2">
      <c r="A42" s="184"/>
      <c r="B42" s="200" t="s">
        <v>19</v>
      </c>
      <c r="C42" s="15" t="s">
        <v>817</v>
      </c>
      <c r="D42" s="255">
        <v>0</v>
      </c>
      <c r="E42" s="255">
        <v>0</v>
      </c>
      <c r="F42" s="255">
        <v>0</v>
      </c>
      <c r="G42" s="255"/>
    </row>
    <row r="43" spans="1:7" s="187" customFormat="1" ht="15" customHeight="1" x14ac:dyDescent="0.2">
      <c r="A43" s="180" t="s">
        <v>20</v>
      </c>
      <c r="B43" s="12"/>
      <c r="C43" s="67" t="s">
        <v>818</v>
      </c>
      <c r="D43" s="220">
        <v>0</v>
      </c>
      <c r="E43" s="220">
        <v>0</v>
      </c>
      <c r="F43" s="220">
        <v>0</v>
      </c>
      <c r="G43" s="220"/>
    </row>
    <row r="44" spans="1:7" s="187" customFormat="1" ht="15" customHeight="1" x14ac:dyDescent="0.2">
      <c r="A44" s="180"/>
      <c r="B44" s="12"/>
      <c r="C44" s="67" t="s">
        <v>819</v>
      </c>
      <c r="D44" s="220"/>
      <c r="E44" s="220"/>
      <c r="F44" s="220"/>
      <c r="G44" s="220"/>
    </row>
    <row r="45" spans="1:7" s="187" customFormat="1" ht="15" customHeight="1" x14ac:dyDescent="0.2">
      <c r="A45" s="268" t="s">
        <v>150</v>
      </c>
      <c r="B45" s="269"/>
      <c r="C45" s="480" t="s">
        <v>820</v>
      </c>
      <c r="D45" s="270">
        <f>+D32+D38+D43</f>
        <v>31724</v>
      </c>
      <c r="E45" s="270">
        <f>+E32+E38+E43+E44</f>
        <v>0</v>
      </c>
      <c r="F45" s="270">
        <f>+F32+F38+F43+F44</f>
        <v>0</v>
      </c>
      <c r="G45" s="270" t="e">
        <f>F45/E45*100</f>
        <v>#DIV/0!</v>
      </c>
    </row>
    <row r="46" spans="1:7" s="187" customFormat="1" ht="15" customHeight="1" x14ac:dyDescent="0.2">
      <c r="A46" s="242"/>
      <c r="B46" s="243"/>
      <c r="C46" s="243"/>
      <c r="D46" s="243"/>
      <c r="E46" s="243"/>
      <c r="F46" s="243"/>
      <c r="G46" s="243"/>
    </row>
    <row r="47" spans="1:7" s="187" customFormat="1" ht="15" customHeight="1" x14ac:dyDescent="0.2">
      <c r="A47" s="244" t="s">
        <v>297</v>
      </c>
      <c r="B47" s="245"/>
      <c r="C47" s="246"/>
      <c r="D47" s="247">
        <v>6</v>
      </c>
      <c r="E47" s="247"/>
      <c r="F47" s="247"/>
      <c r="G47" s="247"/>
    </row>
    <row r="48" spans="1:7" s="187" customFormat="1" ht="15" customHeight="1" x14ac:dyDescent="0.2">
      <c r="A48" s="244" t="s">
        <v>298</v>
      </c>
      <c r="B48" s="245"/>
      <c r="C48" s="246"/>
      <c r="D48" s="482"/>
      <c r="E48" s="482"/>
      <c r="F48" s="482"/>
      <c r="G48" s="482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27559055118110237" right="0.23622047244094491" top="0.35433070866141736" bottom="0.43307086614173229" header="0.15748031496062992" footer="0.15748031496062992"/>
  <pageSetup paperSize="9" firstPageNumber="78" orientation="portrait" useFirstPageNumber="1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view="pageBreakPreview" topLeftCell="A4" zoomScale="110" zoomScaleSheetLayoutView="110" workbookViewId="0">
      <selection activeCell="C11" sqref="C11"/>
    </sheetView>
  </sheetViews>
  <sheetFormatPr defaultRowHeight="12.75" x14ac:dyDescent="0.2"/>
  <cols>
    <col min="1" max="1" width="6.83203125" style="87" customWidth="1"/>
    <col min="2" max="2" width="52.5" style="88" customWidth="1"/>
    <col min="3" max="3" width="16.6640625" style="87" customWidth="1"/>
    <col min="4" max="4" width="16.6640625" style="87" hidden="1" customWidth="1"/>
    <col min="5" max="5" width="14.6640625" style="87" hidden="1" customWidth="1"/>
    <col min="6" max="6" width="52.5" style="87" customWidth="1"/>
    <col min="7" max="7" width="16.6640625" style="87" customWidth="1"/>
    <col min="8" max="8" width="15" style="87" hidden="1" customWidth="1"/>
    <col min="9" max="9" width="13.83203125" style="87" hidden="1" customWidth="1"/>
    <col min="10" max="16384" width="9.33203125" style="87"/>
  </cols>
  <sheetData>
    <row r="1" spans="1:10" ht="37.5" customHeight="1" x14ac:dyDescent="0.2">
      <c r="A1" s="1535" t="s">
        <v>195</v>
      </c>
      <c r="B1" s="1535"/>
      <c r="C1" s="1535"/>
      <c r="D1" s="1535"/>
      <c r="E1" s="1535"/>
      <c r="F1" s="1535"/>
      <c r="G1" s="1535"/>
      <c r="H1" s="1535"/>
      <c r="I1" s="1535"/>
      <c r="J1" s="1532"/>
    </row>
    <row r="2" spans="1:10" ht="16.5" customHeight="1" thickBot="1" x14ac:dyDescent="0.25">
      <c r="G2" s="1533" t="s">
        <v>196</v>
      </c>
      <c r="H2" s="1533"/>
      <c r="I2" s="1533"/>
      <c r="J2" s="1532"/>
    </row>
    <row r="3" spans="1:10" ht="18" customHeight="1" thickBot="1" x14ac:dyDescent="0.25">
      <c r="A3" s="1534" t="s">
        <v>197</v>
      </c>
      <c r="B3" s="1534" t="s">
        <v>198</v>
      </c>
      <c r="C3" s="1534"/>
      <c r="D3" s="1534"/>
      <c r="E3" s="1534"/>
      <c r="F3" s="1536" t="s">
        <v>199</v>
      </c>
      <c r="G3" s="1537"/>
      <c r="H3" s="1380"/>
      <c r="I3" s="1381"/>
      <c r="J3" s="1532"/>
    </row>
    <row r="4" spans="1:10" s="93" customFormat="1" ht="45.75" customHeight="1" thickBot="1" x14ac:dyDescent="0.25">
      <c r="A4" s="1534"/>
      <c r="B4" s="90" t="s">
        <v>200</v>
      </c>
      <c r="C4" s="91" t="s">
        <v>1489</v>
      </c>
      <c r="D4" s="91" t="s">
        <v>1432</v>
      </c>
      <c r="E4" s="91" t="s">
        <v>1435</v>
      </c>
      <c r="F4" s="90" t="s">
        <v>200</v>
      </c>
      <c r="G4" s="92" t="s">
        <v>1489</v>
      </c>
      <c r="H4" s="92" t="s">
        <v>1436</v>
      </c>
      <c r="I4" s="92" t="s">
        <v>1434</v>
      </c>
      <c r="J4" s="1532"/>
    </row>
    <row r="5" spans="1:10" s="94" customFormat="1" ht="15" customHeight="1" x14ac:dyDescent="0.2">
      <c r="A5" s="89">
        <v>1</v>
      </c>
      <c r="B5" s="90">
        <v>2</v>
      </c>
      <c r="C5" s="91" t="s">
        <v>20</v>
      </c>
      <c r="D5" s="91">
        <v>4</v>
      </c>
      <c r="E5" s="91">
        <v>5</v>
      </c>
      <c r="F5" s="90">
        <v>6</v>
      </c>
      <c r="G5" s="92">
        <v>7</v>
      </c>
      <c r="H5" s="92">
        <v>7</v>
      </c>
      <c r="I5" s="92">
        <v>7</v>
      </c>
      <c r="J5" s="1532"/>
    </row>
    <row r="6" spans="1:10" ht="15" customHeight="1" x14ac:dyDescent="0.2">
      <c r="A6" s="95" t="s">
        <v>5</v>
      </c>
      <c r="B6" s="96" t="s">
        <v>1696</v>
      </c>
      <c r="C6" s="97">
        <f>SUM('2. sz. mell '!D17)</f>
        <v>315822</v>
      </c>
      <c r="D6" s="97">
        <f>SUM('2. sz. mell '!E7)</f>
        <v>0</v>
      </c>
      <c r="E6" s="97" t="e">
        <f>SUM('2. sz. mell '!F7)</f>
        <v>#REF!</v>
      </c>
      <c r="F6" s="96" t="s">
        <v>201</v>
      </c>
      <c r="G6" s="98">
        <f>SUM('2. sz. mell '!D78)</f>
        <v>904670</v>
      </c>
      <c r="H6" s="98">
        <f>SUM('2. sz. mell '!E78)</f>
        <v>0</v>
      </c>
      <c r="I6" s="98" t="e">
        <f>SUM('2. sz. mell '!F78)</f>
        <v>#REF!</v>
      </c>
      <c r="J6" s="1532"/>
    </row>
    <row r="7" spans="1:10" ht="15" customHeight="1" x14ac:dyDescent="0.2">
      <c r="A7" s="99" t="s">
        <v>6</v>
      </c>
      <c r="B7" s="100" t="s">
        <v>73</v>
      </c>
      <c r="C7" s="101"/>
      <c r="D7" s="101"/>
      <c r="E7" s="101"/>
      <c r="F7" s="100" t="s">
        <v>1845</v>
      </c>
      <c r="G7" s="98">
        <f>SUM('2. sz. mell '!D79)</f>
        <v>250657</v>
      </c>
      <c r="H7" s="98">
        <f>SUM('2. sz. mell '!E79)</f>
        <v>0</v>
      </c>
      <c r="I7" s="98" t="e">
        <f>SUM('2. sz. mell '!F79)</f>
        <v>#REF!</v>
      </c>
      <c r="J7" s="1532"/>
    </row>
    <row r="8" spans="1:10" ht="15" customHeight="1" x14ac:dyDescent="0.2">
      <c r="A8" s="99" t="s">
        <v>20</v>
      </c>
      <c r="B8" s="100" t="s">
        <v>202</v>
      </c>
      <c r="C8" s="101">
        <f>SUM('2. sz. mell '!D8)</f>
        <v>1625000</v>
      </c>
      <c r="D8" s="101">
        <f>SUM('2. sz. mell '!E26)</f>
        <v>0</v>
      </c>
      <c r="E8" s="101">
        <f>SUM('2. sz. mell '!F26)</f>
        <v>0</v>
      </c>
      <c r="F8" s="100" t="s">
        <v>203</v>
      </c>
      <c r="G8" s="98">
        <f>SUM('2. sz. mell '!D80)</f>
        <v>1364695</v>
      </c>
      <c r="H8" s="98">
        <f>SUM('2. sz. mell '!E80)</f>
        <v>0</v>
      </c>
      <c r="I8" s="98" t="e">
        <f>SUM('2. sz. mell '!F80)</f>
        <v>#REF!</v>
      </c>
      <c r="J8" s="1532"/>
    </row>
    <row r="9" spans="1:10" ht="15" customHeight="1" x14ac:dyDescent="0.2">
      <c r="A9" s="99" t="s">
        <v>150</v>
      </c>
      <c r="B9" s="102" t="s">
        <v>1843</v>
      </c>
      <c r="C9" s="101">
        <f>SUM('2. sz. mell '!D54)</f>
        <v>526670</v>
      </c>
      <c r="D9" s="101">
        <f>SUM('2. sz. mell '!E54)</f>
        <v>0</v>
      </c>
      <c r="E9" s="101">
        <f>SUM('2. sz. mell '!F54)</f>
        <v>0</v>
      </c>
      <c r="F9" s="15" t="s">
        <v>110</v>
      </c>
      <c r="G9" s="98">
        <f>SUM('2. sz. mell '!D82)</f>
        <v>40000</v>
      </c>
      <c r="H9" s="98">
        <f>SUM('2. sz. mell '!E82)</f>
        <v>0</v>
      </c>
      <c r="I9" s="98">
        <f>SUM('2. sz. mell '!F82)</f>
        <v>0</v>
      </c>
      <c r="J9" s="1532"/>
    </row>
    <row r="10" spans="1:10" ht="15" customHeight="1" x14ac:dyDescent="0.2">
      <c r="A10" s="99" t="s">
        <v>39</v>
      </c>
      <c r="B10" s="100" t="s">
        <v>1844</v>
      </c>
      <c r="C10" s="101">
        <f>SUM('2. sz. mell '!D28)</f>
        <v>447504</v>
      </c>
      <c r="D10" s="101">
        <f>SUM('2. sz. mell '!E27)</f>
        <v>0</v>
      </c>
      <c r="E10" s="101" t="e">
        <f>SUM('2. sz. mell '!F27)</f>
        <v>#REF!</v>
      </c>
      <c r="F10" s="100" t="s">
        <v>112</v>
      </c>
      <c r="G10" s="103">
        <f>SUM('2. sz. mell '!D81)</f>
        <v>143632</v>
      </c>
      <c r="H10" s="103">
        <f>SUM('2. sz. mell '!E81)</f>
        <v>0</v>
      </c>
      <c r="I10" s="103" t="e">
        <f>SUM('2. sz. mell '!F81)</f>
        <v>#REF!</v>
      </c>
      <c r="J10" s="1532"/>
    </row>
    <row r="11" spans="1:10" ht="15" customHeight="1" x14ac:dyDescent="0.2">
      <c r="A11" s="99" t="s">
        <v>49</v>
      </c>
      <c r="B11" s="100" t="s">
        <v>58</v>
      </c>
      <c r="C11" s="104"/>
      <c r="D11" s="104"/>
      <c r="E11" s="104"/>
      <c r="F11" s="100" t="s">
        <v>204</v>
      </c>
      <c r="G11" s="103">
        <f>SUM('2. sz. mell '!D97+'2. sz. mell '!D96)</f>
        <v>163605</v>
      </c>
      <c r="H11" s="103" t="e">
        <f>SUM('2. sz. mell '!E97+'2. sz. mell '!E96)</f>
        <v>#REF!</v>
      </c>
      <c r="I11" s="103">
        <f>SUM('2. sz. mell '!F97)</f>
        <v>0</v>
      </c>
      <c r="J11" s="1532"/>
    </row>
    <row r="12" spans="1:10" ht="30.75" customHeight="1" x14ac:dyDescent="0.2">
      <c r="A12" s="99" t="s">
        <v>179</v>
      </c>
      <c r="B12" s="100" t="s">
        <v>205</v>
      </c>
      <c r="C12" s="104"/>
      <c r="D12" s="101">
        <f>SUM('2. sz. mell '!E42)</f>
        <v>0</v>
      </c>
      <c r="E12" s="101" t="e">
        <f>SUM('2. sz. mell '!F42)</f>
        <v>#REF!</v>
      </c>
      <c r="F12" s="100"/>
      <c r="G12" s="103"/>
      <c r="H12" s="103">
        <f>SUM('2. sz. mell '!E99)</f>
        <v>0</v>
      </c>
      <c r="I12" s="103">
        <f>SUM('2. sz. mell '!F99)</f>
        <v>0</v>
      </c>
      <c r="J12" s="1532"/>
    </row>
    <row r="13" spans="1:10" ht="15" customHeight="1" x14ac:dyDescent="0.2">
      <c r="A13" s="99" t="s">
        <v>75</v>
      </c>
      <c r="B13" s="100" t="s">
        <v>206</v>
      </c>
      <c r="C13" s="104"/>
      <c r="D13" s="101"/>
      <c r="E13" s="101"/>
      <c r="F13" s="100"/>
      <c r="G13" s="103"/>
      <c r="H13" s="103"/>
      <c r="I13" s="103"/>
      <c r="J13" s="1532"/>
    </row>
    <row r="14" spans="1:10" ht="15" customHeight="1" x14ac:dyDescent="0.2">
      <c r="A14" s="99" t="s">
        <v>207</v>
      </c>
      <c r="B14" s="100" t="s">
        <v>208</v>
      </c>
      <c r="C14" s="104"/>
      <c r="D14" s="104"/>
      <c r="E14" s="104"/>
      <c r="F14" s="100"/>
      <c r="G14" s="103"/>
      <c r="H14" s="103"/>
      <c r="I14" s="103"/>
      <c r="J14" s="1532"/>
    </row>
    <row r="15" spans="1:10" ht="15" customHeight="1" thickBot="1" x14ac:dyDescent="0.25">
      <c r="A15" s="99" t="s">
        <v>86</v>
      </c>
      <c r="B15" s="105"/>
      <c r="C15" s="106"/>
      <c r="D15" s="106"/>
      <c r="E15" s="106"/>
      <c r="F15" s="100" t="s">
        <v>1428</v>
      </c>
      <c r="G15" s="107"/>
      <c r="H15" s="107">
        <f>SUM('2. sz. mell '!E93)</f>
        <v>0</v>
      </c>
      <c r="I15" s="107" t="e">
        <f>SUM('2. sz. mell '!F93)</f>
        <v>#REF!</v>
      </c>
      <c r="J15" s="1532"/>
    </row>
    <row r="16" spans="1:10" ht="15" customHeight="1" x14ac:dyDescent="0.2">
      <c r="A16" s="108" t="s">
        <v>99</v>
      </c>
      <c r="B16" s="109" t="s">
        <v>209</v>
      </c>
      <c r="C16" s="110">
        <f>SUM(C6:C15)</f>
        <v>2914996</v>
      </c>
      <c r="D16" s="110">
        <f>SUM(D6:D15)</f>
        <v>0</v>
      </c>
      <c r="E16" s="110" t="e">
        <f>SUM(E6:E15)</f>
        <v>#REF!</v>
      </c>
      <c r="F16" s="111" t="s">
        <v>210</v>
      </c>
      <c r="G16" s="112">
        <f>SUM(G6:G15)</f>
        <v>2867259</v>
      </c>
      <c r="H16" s="112" t="e">
        <f>SUM(H6:H14)-H15-H9</f>
        <v>#REF!</v>
      </c>
      <c r="I16" s="112" t="e">
        <f>SUM(I6:I14)-I15-I9</f>
        <v>#REF!</v>
      </c>
      <c r="J16" s="1532"/>
    </row>
    <row r="17" spans="1:10" ht="15" customHeight="1" x14ac:dyDescent="0.2">
      <c r="A17" s="113" t="s">
        <v>100</v>
      </c>
      <c r="B17" s="114" t="s">
        <v>211</v>
      </c>
      <c r="C17" s="115"/>
      <c r="D17" s="115">
        <f>SUM('2. sz. mell '!E68)</f>
        <v>0</v>
      </c>
      <c r="E17" s="115" t="e">
        <f>SUM('2. sz. mell '!F68)</f>
        <v>#REF!</v>
      </c>
      <c r="F17" s="100" t="s">
        <v>161</v>
      </c>
      <c r="G17" s="116"/>
      <c r="H17" s="116"/>
      <c r="I17" s="116"/>
      <c r="J17" s="1532"/>
    </row>
    <row r="18" spans="1:10" ht="15" customHeight="1" x14ac:dyDescent="0.2">
      <c r="A18" s="117" t="s">
        <v>212</v>
      </c>
      <c r="B18" s="118" t="s">
        <v>213</v>
      </c>
      <c r="C18" s="119"/>
      <c r="D18" s="119"/>
      <c r="E18" s="119"/>
      <c r="F18" s="100" t="s">
        <v>162</v>
      </c>
      <c r="G18" s="120"/>
      <c r="H18" s="120"/>
      <c r="I18" s="120">
        <f>SUM('2. sz. mell '!F117)</f>
        <v>0</v>
      </c>
      <c r="J18" s="1532"/>
    </row>
    <row r="19" spans="1:10" ht="15" customHeight="1" x14ac:dyDescent="0.2">
      <c r="A19" s="99" t="s">
        <v>214</v>
      </c>
      <c r="B19" s="100" t="s">
        <v>88</v>
      </c>
      <c r="C19" s="121"/>
      <c r="D19" s="121"/>
      <c r="E19" s="121"/>
      <c r="F19" s="100" t="s">
        <v>215</v>
      </c>
      <c r="G19" s="120"/>
      <c r="H19" s="120"/>
      <c r="I19" s="120"/>
      <c r="J19" s="1532"/>
    </row>
    <row r="20" spans="1:10" ht="15" customHeight="1" x14ac:dyDescent="0.2">
      <c r="A20" s="99" t="s">
        <v>216</v>
      </c>
      <c r="B20" s="100" t="s">
        <v>89</v>
      </c>
      <c r="C20" s="121"/>
      <c r="D20" s="121"/>
      <c r="E20" s="121">
        <f>SUM('2. sz. mell '!F71)</f>
        <v>0</v>
      </c>
      <c r="F20" s="100" t="s">
        <v>164</v>
      </c>
      <c r="G20" s="120"/>
      <c r="H20" s="120"/>
      <c r="I20" s="120"/>
      <c r="J20" s="1532"/>
    </row>
    <row r="21" spans="1:10" ht="15" customHeight="1" x14ac:dyDescent="0.2">
      <c r="A21" s="99" t="s">
        <v>217</v>
      </c>
      <c r="B21" s="100" t="s">
        <v>218</v>
      </c>
      <c r="C21" s="121"/>
      <c r="D21" s="121"/>
      <c r="E21" s="121"/>
      <c r="F21" s="122" t="s">
        <v>165</v>
      </c>
      <c r="G21" s="120"/>
      <c r="H21" s="120"/>
      <c r="I21" s="120"/>
      <c r="J21" s="1532"/>
    </row>
    <row r="22" spans="1:10" ht="15" customHeight="1" x14ac:dyDescent="0.2">
      <c r="A22" s="99" t="s">
        <v>219</v>
      </c>
      <c r="B22" s="122" t="s">
        <v>92</v>
      </c>
      <c r="C22" s="121"/>
      <c r="D22" s="121"/>
      <c r="E22" s="121"/>
      <c r="F22" s="100" t="s">
        <v>220</v>
      </c>
      <c r="G22" s="120"/>
      <c r="H22" s="120"/>
      <c r="I22" s="120"/>
      <c r="J22" s="1532"/>
    </row>
    <row r="23" spans="1:10" ht="15" customHeight="1" x14ac:dyDescent="0.2">
      <c r="A23" s="123" t="s">
        <v>221</v>
      </c>
      <c r="B23" s="100" t="s">
        <v>222</v>
      </c>
      <c r="C23" s="124"/>
      <c r="D23" s="124"/>
      <c r="E23" s="124"/>
      <c r="F23" s="96" t="s">
        <v>166</v>
      </c>
      <c r="G23" s="116"/>
      <c r="H23" s="116"/>
      <c r="I23" s="116"/>
      <c r="J23" s="1532"/>
    </row>
    <row r="24" spans="1:10" ht="15" customHeight="1" x14ac:dyDescent="0.2">
      <c r="A24" s="99" t="s">
        <v>223</v>
      </c>
      <c r="B24" s="125"/>
      <c r="C24" s="121"/>
      <c r="D24" s="121"/>
      <c r="E24" s="121"/>
      <c r="F24" s="100" t="s">
        <v>168</v>
      </c>
      <c r="G24" s="120"/>
      <c r="H24" s="120"/>
      <c r="I24" s="120"/>
      <c r="J24" s="1532"/>
    </row>
    <row r="25" spans="1:10" ht="15" customHeight="1" x14ac:dyDescent="0.2">
      <c r="A25" s="95" t="s">
        <v>224</v>
      </c>
      <c r="B25" s="105"/>
      <c r="C25" s="126"/>
      <c r="D25" s="126"/>
      <c r="E25" s="126"/>
      <c r="F25" s="96" t="s">
        <v>225</v>
      </c>
      <c r="G25" s="127"/>
      <c r="H25" s="127"/>
      <c r="I25" s="127"/>
      <c r="J25" s="1532"/>
    </row>
    <row r="26" spans="1:10" ht="15" customHeight="1" x14ac:dyDescent="0.2">
      <c r="A26" s="128" t="s">
        <v>226</v>
      </c>
      <c r="B26" s="105"/>
      <c r="C26" s="129"/>
      <c r="D26" s="129"/>
      <c r="E26" s="129"/>
      <c r="F26" s="105"/>
      <c r="G26" s="130"/>
      <c r="H26" s="130"/>
      <c r="I26" s="130"/>
      <c r="J26" s="1532"/>
    </row>
    <row r="27" spans="1:10" ht="15" customHeight="1" x14ac:dyDescent="0.2">
      <c r="A27" s="108" t="s">
        <v>227</v>
      </c>
      <c r="B27" s="109" t="s">
        <v>228</v>
      </c>
      <c r="C27" s="110">
        <f>SUM(C19:C26)</f>
        <v>0</v>
      </c>
      <c r="D27" s="110">
        <f>SUM(D19:D26)</f>
        <v>0</v>
      </c>
      <c r="E27" s="110">
        <f>SUM(E19:E26)</f>
        <v>0</v>
      </c>
      <c r="F27" s="109" t="s">
        <v>229</v>
      </c>
      <c r="G27" s="112">
        <f>SUM(G17:G26)</f>
        <v>0</v>
      </c>
      <c r="H27" s="112">
        <f>SUM(H17:H26)</f>
        <v>0</v>
      </c>
      <c r="I27" s="112">
        <f>SUM(I17:I26)</f>
        <v>0</v>
      </c>
      <c r="J27" s="1532"/>
    </row>
    <row r="28" spans="1:10" ht="18.75" customHeight="1" x14ac:dyDescent="0.2">
      <c r="A28" s="131" t="s">
        <v>230</v>
      </c>
      <c r="B28" s="132" t="s">
        <v>231</v>
      </c>
      <c r="C28" s="133">
        <f>+C16+C17+C18+C27</f>
        <v>2914996</v>
      </c>
      <c r="D28" s="133">
        <f>+D16+D17+D18+D27</f>
        <v>0</v>
      </c>
      <c r="E28" s="133" t="e">
        <f>+E16+E17+E18+E27</f>
        <v>#REF!</v>
      </c>
      <c r="F28" s="132" t="s">
        <v>232</v>
      </c>
      <c r="G28" s="134">
        <f>+G16+G27</f>
        <v>2867259</v>
      </c>
      <c r="H28" s="134" t="e">
        <f>+H16+H27</f>
        <v>#REF!</v>
      </c>
      <c r="I28" s="134" t="e">
        <f>+I16+I27</f>
        <v>#REF!</v>
      </c>
      <c r="J28" s="1532"/>
    </row>
    <row r="29" spans="1:10" ht="17.25" customHeight="1" x14ac:dyDescent="0.2">
      <c r="A29" s="131" t="s">
        <v>233</v>
      </c>
      <c r="B29" s="132" t="s">
        <v>234</v>
      </c>
      <c r="C29" s="135" t="str">
        <f>IF(((G16-C16)&gt;0),G16-C16,"----")</f>
        <v>----</v>
      </c>
      <c r="D29" s="135" t="str">
        <f>IF(((J16-D16)&gt;0),J16-D16,"----")</f>
        <v>----</v>
      </c>
      <c r="E29" s="135" t="e">
        <f>IF(((K16-E16)&gt;0),K16-E16,"----")</f>
        <v>#REF!</v>
      </c>
      <c r="F29" s="132" t="s">
        <v>235</v>
      </c>
      <c r="G29" s="136">
        <f>IF(((C16-G16)&gt;0),C16-G16,"----")</f>
        <v>47737</v>
      </c>
      <c r="H29" s="136" t="e">
        <f>IF(((D16-H16)&gt;0),D16-H16,"----")</f>
        <v>#REF!</v>
      </c>
      <c r="I29" s="136" t="e">
        <f>IF(((E16-I16)&gt;0),E16-I16,"----")</f>
        <v>#REF!</v>
      </c>
      <c r="J29" s="1532"/>
    </row>
    <row r="32" spans="1:10" ht="15.75" hidden="1" x14ac:dyDescent="0.2">
      <c r="B32" s="137"/>
    </row>
    <row r="33" spans="2:5" hidden="1" x14ac:dyDescent="0.2"/>
    <row r="34" spans="2:5" ht="29.25" hidden="1" customHeight="1" x14ac:dyDescent="0.2">
      <c r="B34" s="138" t="s">
        <v>236</v>
      </c>
      <c r="C34" s="139">
        <f>SUM(C28)</f>
        <v>2914996</v>
      </c>
      <c r="D34" s="139">
        <f>SUM(D28)</f>
        <v>0</v>
      </c>
      <c r="E34" s="922" t="e">
        <f>SUM(E28)</f>
        <v>#REF!</v>
      </c>
    </row>
    <row r="35" spans="2:5" ht="19.5" hidden="1" thickBot="1" x14ac:dyDescent="0.25">
      <c r="B35" s="138" t="s">
        <v>237</v>
      </c>
      <c r="C35" s="139">
        <f>SUM('1.2.sz.mell  '!C29)</f>
        <v>358195</v>
      </c>
      <c r="D35" s="139">
        <f>SUM('1.2.sz.mell  '!D29)</f>
        <v>0</v>
      </c>
      <c r="E35" s="922" t="e">
        <f>SUM('1.2.sz.mell  '!E29)</f>
        <v>#REF!</v>
      </c>
    </row>
    <row r="36" spans="2:5" ht="18.75" hidden="1" x14ac:dyDescent="0.2">
      <c r="B36" s="140" t="s">
        <v>238</v>
      </c>
      <c r="C36" s="141">
        <f>SUM(C34:C35)</f>
        <v>3273191</v>
      </c>
      <c r="D36" s="141">
        <f>SUM(D34:D35)</f>
        <v>0</v>
      </c>
      <c r="E36" s="923" t="e">
        <f>SUM(E34:E35)</f>
        <v>#REF!</v>
      </c>
    </row>
    <row r="37" spans="2:5" ht="15.75" hidden="1" x14ac:dyDescent="0.2">
      <c r="C37" s="142"/>
      <c r="D37" s="142"/>
      <c r="E37" s="924"/>
    </row>
    <row r="38" spans="2:5" ht="18.75" hidden="1" x14ac:dyDescent="0.2">
      <c r="B38" s="138" t="s">
        <v>239</v>
      </c>
      <c r="C38" s="142">
        <f>SUM('2. sz. mell '!D75)</f>
        <v>3273191</v>
      </c>
      <c r="D38" s="142">
        <f>SUM('2. sz. mell '!E75)</f>
        <v>0</v>
      </c>
      <c r="E38" s="924" t="e">
        <f>SUM('2. sz. mell '!F75)</f>
        <v>#REF!</v>
      </c>
    </row>
    <row r="39" spans="2:5" hidden="1" x14ac:dyDescent="0.2">
      <c r="C39" s="143"/>
      <c r="D39" s="143"/>
      <c r="E39" s="925"/>
    </row>
    <row r="40" spans="2:5" ht="18.75" hidden="1" x14ac:dyDescent="0.2">
      <c r="B40" s="144" t="s">
        <v>240</v>
      </c>
      <c r="C40" s="145">
        <f>SUM(C38-C36)</f>
        <v>0</v>
      </c>
      <c r="D40" s="145">
        <f>SUM(D38-D36)</f>
        <v>0</v>
      </c>
      <c r="E40" s="926" t="e">
        <f>SUM(E38-E36)</f>
        <v>#REF!</v>
      </c>
    </row>
    <row r="41" spans="2:5" hidden="1" x14ac:dyDescent="0.2"/>
    <row r="42" spans="2:5" hidden="1" x14ac:dyDescent="0.2">
      <c r="C42" s="230">
        <f>SUM(C47-C36)</f>
        <v>0</v>
      </c>
      <c r="D42" s="230" t="e">
        <f>SUM(D47-D36)</f>
        <v>#REF!</v>
      </c>
      <c r="E42" s="230"/>
    </row>
    <row r="43" spans="2:5" hidden="1" x14ac:dyDescent="0.2">
      <c r="C43" s="230">
        <f>SUM(C40-C42)</f>
        <v>0</v>
      </c>
      <c r="D43" s="230" t="e">
        <f>SUM(D40-D42)</f>
        <v>#REF!</v>
      </c>
      <c r="E43" s="230"/>
    </row>
    <row r="44" spans="2:5" hidden="1" x14ac:dyDescent="0.2"/>
    <row r="45" spans="2:5" ht="23.25" hidden="1" customHeight="1" x14ac:dyDescent="0.2">
      <c r="B45" s="138" t="s">
        <v>241</v>
      </c>
      <c r="C45" s="139">
        <f>SUM(G28)</f>
        <v>2867259</v>
      </c>
      <c r="D45" s="139" t="e">
        <f>SUM(H28)</f>
        <v>#REF!</v>
      </c>
      <c r="E45" s="922" t="e">
        <f>SUM(I28)</f>
        <v>#REF!</v>
      </c>
    </row>
    <row r="46" spans="2:5" ht="19.5" hidden="1" thickBot="1" x14ac:dyDescent="0.25">
      <c r="B46" s="138" t="s">
        <v>242</v>
      </c>
      <c r="C46" s="139">
        <f>SUM('1.2.sz.mell  '!G29)</f>
        <v>405932</v>
      </c>
      <c r="D46" s="139" t="e">
        <f>SUM('1.2.sz.mell  '!H29)</f>
        <v>#REF!</v>
      </c>
      <c r="E46" s="922" t="e">
        <f>SUM('1.2.sz.mell  '!I29)</f>
        <v>#REF!</v>
      </c>
    </row>
    <row r="47" spans="2:5" ht="18.75" hidden="1" x14ac:dyDescent="0.2">
      <c r="B47" s="140" t="s">
        <v>243</v>
      </c>
      <c r="C47" s="141">
        <f>SUM(C45:C46)</f>
        <v>3273191</v>
      </c>
      <c r="D47" s="141" t="e">
        <f>SUM(D45:D46)</f>
        <v>#REF!</v>
      </c>
      <c r="E47" s="923" t="e">
        <f>SUM(E45:E46)</f>
        <v>#REF!</v>
      </c>
    </row>
    <row r="48" spans="2:5" hidden="1" x14ac:dyDescent="0.2">
      <c r="E48" s="925"/>
    </row>
    <row r="49" spans="2:9" ht="18.75" hidden="1" x14ac:dyDescent="0.2">
      <c r="B49" s="138" t="s">
        <v>244</v>
      </c>
      <c r="C49" s="142">
        <f>SUM('2. sz. mell '!D121)</f>
        <v>3273191</v>
      </c>
      <c r="D49" s="142" t="e">
        <f>SUM('2. sz. mell '!E121)</f>
        <v>#REF!</v>
      </c>
      <c r="E49" s="924" t="e">
        <f>SUM('2. sz. mell '!F121)</f>
        <v>#REF!</v>
      </c>
    </row>
    <row r="50" spans="2:9" ht="15.75" hidden="1" x14ac:dyDescent="0.2">
      <c r="G50" s="230"/>
      <c r="H50" s="928"/>
      <c r="I50" s="230"/>
    </row>
    <row r="51" spans="2:9" ht="18.75" hidden="1" x14ac:dyDescent="0.2">
      <c r="B51" s="144" t="s">
        <v>240</v>
      </c>
      <c r="C51" s="145">
        <f>SUM(C49-C47)</f>
        <v>0</v>
      </c>
      <c r="D51" s="145" t="e">
        <f>SUM(D49-D47)</f>
        <v>#REF!</v>
      </c>
      <c r="E51" s="145" t="e">
        <f>SUM(E49-E47)</f>
        <v>#REF!</v>
      </c>
      <c r="G51" s="230"/>
      <c r="H51" s="928"/>
      <c r="I51" s="230"/>
    </row>
    <row r="52" spans="2:9" ht="15.75" hidden="1" x14ac:dyDescent="0.2">
      <c r="B52" s="87"/>
      <c r="G52" s="230"/>
      <c r="H52" s="928"/>
      <c r="I52" s="230"/>
    </row>
    <row r="53" spans="2:9" ht="15.75" x14ac:dyDescent="0.2">
      <c r="B53" s="87"/>
      <c r="G53" s="230"/>
      <c r="H53" s="928"/>
      <c r="I53" s="230"/>
    </row>
    <row r="54" spans="2:9" ht="15.75" x14ac:dyDescent="0.2">
      <c r="B54" s="87"/>
      <c r="G54" s="230"/>
      <c r="H54" s="928"/>
      <c r="I54" s="230"/>
    </row>
    <row r="55" spans="2:9" ht="15.75" x14ac:dyDescent="0.2">
      <c r="B55" s="87"/>
      <c r="G55" s="230"/>
      <c r="H55" s="928"/>
      <c r="I55" s="230"/>
    </row>
    <row r="56" spans="2:9" ht="15.75" x14ac:dyDescent="0.2">
      <c r="B56" s="87"/>
      <c r="G56" s="230"/>
      <c r="H56" s="928"/>
      <c r="I56" s="230"/>
    </row>
    <row r="57" spans="2:9" ht="15.75" x14ac:dyDescent="0.2">
      <c r="B57" s="87"/>
      <c r="G57" s="230"/>
      <c r="H57" s="928"/>
      <c r="I57" s="230"/>
    </row>
    <row r="58" spans="2:9" ht="15.75" x14ac:dyDescent="0.2">
      <c r="B58" s="87"/>
      <c r="G58" s="230"/>
      <c r="H58" s="928"/>
      <c r="I58" s="230"/>
    </row>
    <row r="59" spans="2:9" x14ac:dyDescent="0.2">
      <c r="B59" s="87"/>
      <c r="G59" s="230"/>
      <c r="H59" s="230"/>
      <c r="I59" s="230"/>
    </row>
    <row r="60" spans="2:9" x14ac:dyDescent="0.2">
      <c r="B60" s="87"/>
      <c r="G60" s="230"/>
      <c r="H60" s="230"/>
      <c r="I60" s="230"/>
    </row>
    <row r="61" spans="2:9" x14ac:dyDescent="0.2">
      <c r="B61" s="87"/>
      <c r="G61" s="230"/>
      <c r="H61" s="230"/>
      <c r="I61" s="230"/>
    </row>
    <row r="62" spans="2:9" ht="18.75" x14ac:dyDescent="0.2">
      <c r="B62" s="138"/>
      <c r="C62" s="142"/>
      <c r="D62" s="142"/>
      <c r="E62" s="142"/>
    </row>
    <row r="64" spans="2:9" ht="18.75" x14ac:dyDescent="0.2">
      <c r="B64" s="138"/>
      <c r="C64" s="142"/>
      <c r="D64" s="492"/>
      <c r="E64" s="492"/>
    </row>
    <row r="65" spans="3:5" ht="15.75" x14ac:dyDescent="0.2">
      <c r="C65" s="142"/>
      <c r="D65" s="142"/>
      <c r="E65" s="142"/>
    </row>
    <row r="66" spans="3:5" ht="15.75" x14ac:dyDescent="0.2">
      <c r="C66" s="142"/>
      <c r="D66" s="142"/>
      <c r="E66" s="142"/>
    </row>
  </sheetData>
  <sheetProtection selectLockedCells="1" selectUnlockedCells="1"/>
  <mergeCells count="6">
    <mergeCell ref="J1:J29"/>
    <mergeCell ref="G2:I2"/>
    <mergeCell ref="A3:A4"/>
    <mergeCell ref="B3:E3"/>
    <mergeCell ref="A1:I1"/>
    <mergeCell ref="F3:G3"/>
  </mergeCells>
  <printOptions horizontalCentered="1" verticalCentered="1"/>
  <pageMargins left="0.19685039370078741" right="0.19685039370078741" top="0.43307086614173229" bottom="0.51181102362204722" header="0.19685039370078741" footer="0.27559055118110237"/>
  <pageSetup paperSize="9" firstPageNumber="42" orientation="landscape" useFirstPageNumber="1" horizontalDpi="300" verticalDpi="300" r:id="rId1"/>
  <headerFooter alignWithMargins="0">
    <oddHeader>&amp;R&amp;"Times New Roman,Normál"&amp;12 1.1. sz. melléklet</oddHeader>
    <oddFooter>&amp;C- &amp;P -</oddFooter>
  </headerFooter>
  <rowBreaks count="1" manualBreakCount="1">
    <brk id="29" max="8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view="pageBreakPreview" topLeftCell="A4" zoomScaleNormal="130" workbookViewId="0">
      <selection activeCell="C17" sqref="C17:C19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5.83203125" style="162" customWidth="1"/>
    <col min="4" max="4" width="19.5" style="162" customWidth="1"/>
    <col min="5" max="6" width="13.33203125" style="162" hidden="1" customWidth="1"/>
    <col min="7" max="7" width="9.83203125" style="162" hidden="1" customWidth="1"/>
    <col min="8" max="16384" width="9.33203125" style="162"/>
  </cols>
  <sheetData>
    <row r="1" spans="1:7" s="536" customFormat="1" ht="15" customHeight="1" thickBot="1" x14ac:dyDescent="0.25">
      <c r="A1" s="446"/>
      <c r="B1" s="447"/>
      <c r="C1" s="448"/>
      <c r="D1" s="1609" t="s">
        <v>1613</v>
      </c>
      <c r="E1" s="1609"/>
      <c r="F1" s="1609"/>
      <c r="G1" s="1609"/>
    </row>
    <row r="2" spans="1:7" s="537" customFormat="1" ht="30" customHeight="1" thickBot="1" x14ac:dyDescent="0.25">
      <c r="A2" s="1573" t="s">
        <v>796</v>
      </c>
      <c r="B2" s="1573"/>
      <c r="C2" s="163" t="s">
        <v>881</v>
      </c>
      <c r="D2" s="1615" t="s">
        <v>1481</v>
      </c>
      <c r="E2" s="469"/>
      <c r="F2" s="469"/>
      <c r="G2" s="469"/>
    </row>
    <row r="3" spans="1:7" s="537" customFormat="1" ht="30" customHeight="1" thickBot="1" x14ac:dyDescent="0.25">
      <c r="A3" s="1573" t="s">
        <v>264</v>
      </c>
      <c r="B3" s="1573"/>
      <c r="C3" s="166" t="s">
        <v>882</v>
      </c>
      <c r="D3" s="1616"/>
      <c r="E3" s="450"/>
      <c r="F3" s="450"/>
      <c r="G3" s="450"/>
    </row>
    <row r="4" spans="1:7" s="537" customFormat="1" ht="15" customHeight="1" thickBot="1" x14ac:dyDescent="0.3">
      <c r="A4" s="167"/>
      <c r="B4" s="167"/>
      <c r="C4" s="167"/>
      <c r="D4" s="1590" t="s">
        <v>1482</v>
      </c>
      <c r="E4" s="1590"/>
      <c r="F4" s="1590"/>
      <c r="G4" s="168" t="s">
        <v>196</v>
      </c>
    </row>
    <row r="5" spans="1:7" s="187" customFormat="1" ht="39" customHeight="1" thickBot="1" x14ac:dyDescent="0.25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538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 t="s">
        <v>39</v>
      </c>
      <c r="F6" s="174" t="s">
        <v>49</v>
      </c>
      <c r="G6" s="174" t="s">
        <v>179</v>
      </c>
    </row>
    <row r="7" spans="1:7" s="538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/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>
        <v>0</v>
      </c>
      <c r="E9" s="257">
        <v>0</v>
      </c>
      <c r="F9" s="257">
        <v>0</v>
      </c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>
        <v>0</v>
      </c>
      <c r="E10" s="255">
        <v>0</v>
      </c>
      <c r="F10" s="255">
        <v>0</v>
      </c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>
        <v>0</v>
      </c>
      <c r="E11" s="255">
        <v>0</v>
      </c>
      <c r="F11" s="255">
        <v>0</v>
      </c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>
        <v>0</v>
      </c>
      <c r="E12" s="255">
        <v>0</v>
      </c>
      <c r="F12" s="255">
        <v>0</v>
      </c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>
        <v>0</v>
      </c>
      <c r="E13" s="255">
        <v>0</v>
      </c>
      <c r="F13" s="255"/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>
        <v>0</v>
      </c>
      <c r="E14" s="256">
        <v>0</v>
      </c>
      <c r="F14" s="256">
        <v>0</v>
      </c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>
        <v>0</v>
      </c>
      <c r="E15" s="255">
        <v>0</v>
      </c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>
        <v>0</v>
      </c>
      <c r="E16" s="258">
        <v>0</v>
      </c>
      <c r="F16" s="258"/>
      <c r="G16" s="258"/>
    </row>
    <row r="17" spans="1:11" s="183" customFormat="1" ht="15" customHeight="1" x14ac:dyDescent="0.2">
      <c r="A17" s="180" t="s">
        <v>6</v>
      </c>
      <c r="B17" s="181"/>
      <c r="C17" s="222" t="s">
        <v>1963</v>
      </c>
      <c r="D17" s="254">
        <f>SUM(D18:D22)</f>
        <v>75522</v>
      </c>
      <c r="E17" s="254">
        <f>SUM(E18:E22)</f>
        <v>0</v>
      </c>
      <c r="F17" s="254">
        <f>SUM(F18:F22)</f>
        <v>0</v>
      </c>
      <c r="G17" s="254" t="e">
        <f>F17/E17*100</f>
        <v>#DIV/0!</v>
      </c>
    </row>
    <row r="18" spans="1:11" s="187" customFormat="1" ht="15" customHeight="1" x14ac:dyDescent="0.2">
      <c r="A18" s="184"/>
      <c r="B18" s="185" t="s">
        <v>7</v>
      </c>
      <c r="C18" s="27" t="s">
        <v>1964</v>
      </c>
      <c r="D18" s="255">
        <f>SUM('5.9.1..sz mell.'!E9+'5.9.1..sz mell.'!E14+'5.9.1..sz mell.'!E57+'5.9.1..sz mell.'!E62)</f>
        <v>72598</v>
      </c>
      <c r="E18" s="255"/>
      <c r="F18" s="255">
        <f>SUM('5.9.1..sz mell.'!G9+'5.9.1..sz mell.'!G14+'5.9.1..sz mell.'!G57+'5.9.1..sz mell.'!G62)</f>
        <v>0</v>
      </c>
      <c r="G18" s="255" t="e">
        <f>F18/E18*100</f>
        <v>#DIV/0!</v>
      </c>
    </row>
    <row r="19" spans="1:11" s="187" customFormat="1" ht="15" customHeight="1" x14ac:dyDescent="0.2">
      <c r="A19" s="184"/>
      <c r="B19" s="185" t="s">
        <v>7</v>
      </c>
      <c r="C19" s="15" t="s">
        <v>1965</v>
      </c>
      <c r="D19" s="255"/>
      <c r="E19" s="255"/>
      <c r="F19" s="255"/>
      <c r="G19" s="255"/>
      <c r="H19" s="531"/>
      <c r="I19" s="531"/>
      <c r="J19" s="201"/>
      <c r="K19" s="201"/>
    </row>
    <row r="20" spans="1:11" s="187" customFormat="1" ht="15" customHeight="1" x14ac:dyDescent="0.2">
      <c r="A20" s="184"/>
      <c r="B20" s="185" t="s">
        <v>9</v>
      </c>
      <c r="C20" s="15" t="s">
        <v>801</v>
      </c>
      <c r="D20" s="255">
        <v>0</v>
      </c>
      <c r="E20" s="255">
        <v>0</v>
      </c>
      <c r="F20" s="255">
        <v>0</v>
      </c>
      <c r="G20" s="255"/>
    </row>
    <row r="21" spans="1:11" s="187" customFormat="1" ht="15" customHeight="1" x14ac:dyDescent="0.2">
      <c r="A21" s="184"/>
      <c r="B21" s="185" t="s">
        <v>11</v>
      </c>
      <c r="C21" s="15" t="s">
        <v>802</v>
      </c>
      <c r="D21" s="255">
        <v>0</v>
      </c>
      <c r="E21" s="255">
        <v>0</v>
      </c>
      <c r="F21" s="255">
        <v>0</v>
      </c>
      <c r="G21" s="255"/>
    </row>
    <row r="22" spans="1:11" s="187" customFormat="1" ht="15" customHeight="1" thickBot="1" x14ac:dyDescent="0.25">
      <c r="A22" s="184"/>
      <c r="B22" s="185" t="s">
        <v>13</v>
      </c>
      <c r="C22" s="15" t="s">
        <v>803</v>
      </c>
      <c r="D22" s="255">
        <v>2924</v>
      </c>
      <c r="E22" s="255"/>
      <c r="F22" s="255">
        <f>'5.9.1..sz mell.'!G21+'5.9.1..sz mell.'!G70+'5.9.1..sz mell.'!G14+'5.9.1..sz mell.'!G62</f>
        <v>0</v>
      </c>
      <c r="G22" s="255" t="e">
        <f>F22/E22*100</f>
        <v>#DIV/0!</v>
      </c>
    </row>
    <row r="23" spans="1:11" s="187" customFormat="1" ht="15" customHeight="1" x14ac:dyDescent="0.2">
      <c r="A23" s="180" t="s">
        <v>20</v>
      </c>
      <c r="B23" s="12"/>
      <c r="C23" s="12" t="s">
        <v>804</v>
      </c>
      <c r="D23" s="220">
        <v>0</v>
      </c>
      <c r="E23" s="220">
        <v>0</v>
      </c>
      <c r="F23" s="220">
        <v>0</v>
      </c>
      <c r="G23" s="220"/>
    </row>
    <row r="24" spans="1:11" s="183" customFormat="1" ht="15" customHeight="1" x14ac:dyDescent="0.2">
      <c r="A24" s="180" t="s">
        <v>150</v>
      </c>
      <c r="B24" s="181"/>
      <c r="C24" s="12" t="s">
        <v>846</v>
      </c>
      <c r="D24" s="220">
        <v>0</v>
      </c>
      <c r="E24" s="220">
        <v>0</v>
      </c>
      <c r="F24" s="220">
        <v>0</v>
      </c>
      <c r="G24" s="220"/>
    </row>
    <row r="25" spans="1:11" s="183" customFormat="1" ht="15" customHeight="1" x14ac:dyDescent="0.2">
      <c r="A25" s="180" t="s">
        <v>39</v>
      </c>
      <c r="B25" s="209"/>
      <c r="C25" s="12" t="s">
        <v>847</v>
      </c>
      <c r="D25" s="266">
        <f>+D26+D27</f>
        <v>0</v>
      </c>
      <c r="E25" s="266">
        <f>+E26+E27</f>
        <v>0</v>
      </c>
      <c r="F25" s="266">
        <f>+F26+F27</f>
        <v>0</v>
      </c>
      <c r="G25" s="266"/>
    </row>
    <row r="26" spans="1:11" s="183" customFormat="1" ht="15" customHeight="1" x14ac:dyDescent="0.2">
      <c r="A26" s="192"/>
      <c r="B26" s="199" t="s">
        <v>40</v>
      </c>
      <c r="C26" s="19" t="s">
        <v>808</v>
      </c>
      <c r="D26" s="267">
        <v>0</v>
      </c>
      <c r="E26" s="267">
        <v>0</v>
      </c>
      <c r="F26" s="267">
        <v>0</v>
      </c>
      <c r="G26" s="267"/>
    </row>
    <row r="27" spans="1:11" s="183" customFormat="1" ht="15" customHeight="1" x14ac:dyDescent="0.2">
      <c r="A27" s="202"/>
      <c r="B27" s="203" t="s">
        <v>41</v>
      </c>
      <c r="C27" s="24" t="s">
        <v>809</v>
      </c>
      <c r="D27" s="261">
        <v>0</v>
      </c>
      <c r="E27" s="261">
        <v>0</v>
      </c>
      <c r="F27" s="261">
        <v>0</v>
      </c>
      <c r="G27" s="261"/>
    </row>
    <row r="28" spans="1:11" s="187" customFormat="1" ht="15" customHeight="1" x14ac:dyDescent="0.25">
      <c r="A28" s="212" t="s">
        <v>49</v>
      </c>
      <c r="B28" s="213"/>
      <c r="C28" s="12" t="s">
        <v>848</v>
      </c>
      <c r="D28" s="220">
        <v>18181</v>
      </c>
      <c r="E28" s="220">
        <f>'5.9.1..sz mell.'!F19+'5.9.1..sz mell.'!F67</f>
        <v>0</v>
      </c>
      <c r="F28" s="220">
        <f>'5.9.1..sz mell.'!G19+'5.9.1..sz mell.'!G67</f>
        <v>0</v>
      </c>
      <c r="G28" s="220" t="e">
        <f>F28/E28*100</f>
        <v>#DIV/0!</v>
      </c>
      <c r="J28" s="201">
        <f>SUM(D46-D30)</f>
        <v>0</v>
      </c>
    </row>
    <row r="29" spans="1:11" s="187" customFormat="1" ht="15" customHeight="1" x14ac:dyDescent="0.25">
      <c r="A29" s="212"/>
      <c r="B29" s="213"/>
      <c r="C29" s="12" t="s">
        <v>849</v>
      </c>
      <c r="D29" s="220"/>
      <c r="E29" s="220"/>
      <c r="F29" s="220"/>
      <c r="G29" s="220"/>
    </row>
    <row r="30" spans="1:11" s="187" customFormat="1" ht="15" customHeight="1" x14ac:dyDescent="0.2">
      <c r="A30" s="268" t="s">
        <v>179</v>
      </c>
      <c r="B30" s="269"/>
      <c r="C30" s="480" t="s">
        <v>850</v>
      </c>
      <c r="D30" s="270">
        <f>SUM(D8,D17,D23,D24,D25,D28)</f>
        <v>93703</v>
      </c>
      <c r="E30" s="270">
        <f>SUM(E8,E17,E23,E24,E25,E28,E29)</f>
        <v>0</v>
      </c>
      <c r="F30" s="270">
        <f>SUM(F8,F17,F23,F24,F25,F28,F29)</f>
        <v>0</v>
      </c>
      <c r="G30" s="270" t="e">
        <f>F30/E30*100</f>
        <v>#DIV/0!</v>
      </c>
      <c r="I30" s="201"/>
    </row>
    <row r="31" spans="1:11" s="187" customFormat="1" ht="15" customHeight="1" x14ac:dyDescent="0.2">
      <c r="A31" s="462"/>
      <c r="B31" s="462"/>
      <c r="C31" s="481"/>
      <c r="D31" s="514"/>
      <c r="E31" s="514"/>
      <c r="F31" s="514"/>
      <c r="G31" s="514"/>
    </row>
    <row r="32" spans="1:11" s="538" customFormat="1" ht="15" customHeight="1" x14ac:dyDescent="0.2">
      <c r="A32" s="268"/>
      <c r="B32" s="269"/>
      <c r="C32" s="513" t="s">
        <v>199</v>
      </c>
      <c r="D32" s="270"/>
      <c r="E32" s="270"/>
      <c r="F32" s="270"/>
      <c r="G32" s="270"/>
    </row>
    <row r="33" spans="1:7" s="183" customFormat="1" ht="15" customHeight="1" x14ac:dyDescent="0.2">
      <c r="A33" s="180" t="s">
        <v>5</v>
      </c>
      <c r="B33" s="12"/>
      <c r="C33" s="67" t="s">
        <v>102</v>
      </c>
      <c r="D33" s="254">
        <f>SUM(D34:D38)</f>
        <v>93703</v>
      </c>
      <c r="E33" s="254">
        <f>SUM(E34:E38)</f>
        <v>0</v>
      </c>
      <c r="F33" s="254">
        <f>SUM(F34:F38)</f>
        <v>0</v>
      </c>
      <c r="G33" s="254" t="e">
        <f>F33/E33*100</f>
        <v>#DIV/0!</v>
      </c>
    </row>
    <row r="34" spans="1:7" s="187" customFormat="1" ht="15" customHeight="1" x14ac:dyDescent="0.2">
      <c r="A34" s="204"/>
      <c r="B34" s="231" t="s">
        <v>103</v>
      </c>
      <c r="C34" s="27" t="s">
        <v>104</v>
      </c>
      <c r="D34" s="262">
        <v>61286</v>
      </c>
      <c r="E34" s="262"/>
      <c r="F34" s="262"/>
      <c r="G34" s="262" t="e">
        <f>F34/E34*100</f>
        <v>#DIV/0!</v>
      </c>
    </row>
    <row r="35" spans="1:7" s="187" customFormat="1" ht="15" customHeight="1" x14ac:dyDescent="0.2">
      <c r="A35" s="184"/>
      <c r="B35" s="200" t="s">
        <v>105</v>
      </c>
      <c r="C35" s="15" t="s">
        <v>106</v>
      </c>
      <c r="D35" s="255">
        <v>16138</v>
      </c>
      <c r="E35" s="255"/>
      <c r="F35" s="255"/>
      <c r="G35" s="255" t="e">
        <f>F35/E35*100</f>
        <v>#DIV/0!</v>
      </c>
    </row>
    <row r="36" spans="1:7" s="187" customFormat="1" ht="15" customHeight="1" x14ac:dyDescent="0.2">
      <c r="A36" s="184"/>
      <c r="B36" s="200" t="s">
        <v>107</v>
      </c>
      <c r="C36" s="15" t="s">
        <v>108</v>
      </c>
      <c r="D36" s="255">
        <v>12132</v>
      </c>
      <c r="E36" s="255"/>
      <c r="F36" s="255"/>
      <c r="G36" s="255" t="e">
        <f>F36/E36*100</f>
        <v>#DIV/0!</v>
      </c>
    </row>
    <row r="37" spans="1:7" s="187" customFormat="1" ht="15" customHeight="1" x14ac:dyDescent="0.2">
      <c r="A37" s="184"/>
      <c r="B37" s="200" t="s">
        <v>109</v>
      </c>
      <c r="C37" s="15" t="s">
        <v>110</v>
      </c>
      <c r="D37" s="255"/>
      <c r="E37" s="255"/>
      <c r="F37" s="255"/>
      <c r="G37" s="255"/>
    </row>
    <row r="38" spans="1:7" s="187" customFormat="1" ht="15" customHeight="1" x14ac:dyDescent="0.2">
      <c r="A38" s="184"/>
      <c r="B38" s="200" t="s">
        <v>111</v>
      </c>
      <c r="C38" s="15" t="s">
        <v>112</v>
      </c>
      <c r="D38" s="255">
        <v>4147</v>
      </c>
      <c r="E38" s="255"/>
      <c r="F38" s="255"/>
      <c r="G38" s="255" t="e">
        <f>F38/E38*100</f>
        <v>#DIV/0!</v>
      </c>
    </row>
    <row r="39" spans="1:7" s="187" customFormat="1" ht="15" customHeight="1" x14ac:dyDescent="0.2">
      <c r="A39" s="180" t="s">
        <v>6</v>
      </c>
      <c r="B39" s="12"/>
      <c r="C39" s="67" t="s">
        <v>823</v>
      </c>
      <c r="D39" s="254">
        <f>SUM(D40:D43)</f>
        <v>0</v>
      </c>
      <c r="E39" s="254">
        <f>SUM(E40:E43)</f>
        <v>0</v>
      </c>
      <c r="F39" s="254">
        <f>SUM(F40:F43)</f>
        <v>0</v>
      </c>
      <c r="G39" s="254" t="e">
        <f>F39/E39*100</f>
        <v>#DIV/0!</v>
      </c>
    </row>
    <row r="40" spans="1:7" s="183" customFormat="1" ht="15" customHeight="1" x14ac:dyDescent="0.2">
      <c r="A40" s="204"/>
      <c r="B40" s="231" t="s">
        <v>7</v>
      </c>
      <c r="C40" s="27" t="s">
        <v>816</v>
      </c>
      <c r="D40" s="262">
        <v>0</v>
      </c>
      <c r="E40" s="262"/>
      <c r="F40" s="262"/>
      <c r="G40" s="262" t="e">
        <f>F40/E40*100</f>
        <v>#DIV/0!</v>
      </c>
    </row>
    <row r="41" spans="1:7" s="187" customFormat="1" ht="15" customHeight="1" x14ac:dyDescent="0.2">
      <c r="A41" s="184"/>
      <c r="B41" s="200" t="s">
        <v>9</v>
      </c>
      <c r="C41" s="15" t="s">
        <v>135</v>
      </c>
      <c r="D41" s="255">
        <v>0</v>
      </c>
      <c r="E41" s="262"/>
      <c r="F41" s="262"/>
      <c r="G41" s="255"/>
    </row>
    <row r="42" spans="1:7" s="187" customFormat="1" ht="15" customHeight="1" x14ac:dyDescent="0.2">
      <c r="A42" s="184"/>
      <c r="B42" s="200" t="s">
        <v>15</v>
      </c>
      <c r="C42" s="15" t="s">
        <v>138</v>
      </c>
      <c r="D42" s="255">
        <v>0</v>
      </c>
      <c r="E42" s="255"/>
      <c r="F42" s="255"/>
      <c r="G42" s="255"/>
    </row>
    <row r="43" spans="1:7" s="187" customFormat="1" ht="15" customHeight="1" x14ac:dyDescent="0.2">
      <c r="A43" s="184"/>
      <c r="B43" s="200" t="s">
        <v>19</v>
      </c>
      <c r="C43" s="15" t="s">
        <v>817</v>
      </c>
      <c r="D43" s="255">
        <v>0</v>
      </c>
      <c r="E43" s="255"/>
      <c r="F43" s="255"/>
      <c r="G43" s="255"/>
    </row>
    <row r="44" spans="1:7" s="187" customFormat="1" ht="15" customHeight="1" x14ac:dyDescent="0.2">
      <c r="A44" s="180" t="s">
        <v>20</v>
      </c>
      <c r="B44" s="12"/>
      <c r="C44" s="67" t="s">
        <v>818</v>
      </c>
      <c r="D44" s="220">
        <v>0</v>
      </c>
      <c r="E44" s="220"/>
      <c r="F44" s="220"/>
      <c r="G44" s="220"/>
    </row>
    <row r="45" spans="1:7" s="187" customFormat="1" ht="15" customHeight="1" x14ac:dyDescent="0.2">
      <c r="A45" s="180"/>
      <c r="B45" s="12"/>
      <c r="C45" s="67" t="s">
        <v>819</v>
      </c>
      <c r="D45" s="220"/>
      <c r="E45" s="220"/>
      <c r="F45" s="220"/>
      <c r="G45" s="220"/>
    </row>
    <row r="46" spans="1:7" s="187" customFormat="1" ht="15" customHeight="1" x14ac:dyDescent="0.2">
      <c r="A46" s="268" t="s">
        <v>150</v>
      </c>
      <c r="B46" s="269"/>
      <c r="C46" s="480" t="s">
        <v>820</v>
      </c>
      <c r="D46" s="270">
        <f>+D33+D39+D44</f>
        <v>93703</v>
      </c>
      <c r="E46" s="270">
        <f>+E33+E39+E44+E45</f>
        <v>0</v>
      </c>
      <c r="F46" s="270">
        <f>+F33+F39+F44+F45</f>
        <v>0</v>
      </c>
      <c r="G46" s="270" t="e">
        <f>F46/E46*100</f>
        <v>#DIV/0!</v>
      </c>
    </row>
    <row r="47" spans="1:7" s="187" customFormat="1" ht="15" customHeight="1" x14ac:dyDescent="0.2">
      <c r="A47" s="242"/>
      <c r="B47" s="243"/>
      <c r="C47" s="243"/>
      <c r="D47" s="243"/>
      <c r="E47" s="243"/>
      <c r="F47" s="243"/>
      <c r="G47" s="243"/>
    </row>
    <row r="48" spans="1:7" s="187" customFormat="1" ht="15" customHeight="1" x14ac:dyDescent="0.2">
      <c r="A48" s="244" t="s">
        <v>297</v>
      </c>
      <c r="B48" s="245"/>
      <c r="C48" s="246"/>
      <c r="D48" s="247">
        <v>27.5</v>
      </c>
      <c r="E48" s="247"/>
      <c r="F48" s="247"/>
      <c r="G48" s="247"/>
    </row>
    <row r="49" spans="1:7" s="187" customFormat="1" ht="15" customHeight="1" x14ac:dyDescent="0.2">
      <c r="A49" s="244" t="s">
        <v>298</v>
      </c>
      <c r="B49" s="245"/>
      <c r="C49" s="246"/>
      <c r="D49" s="482"/>
      <c r="E49" s="482"/>
      <c r="F49" s="482"/>
      <c r="G49" s="482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39370078740157483" right="0.31496062992125984" top="0.31496062992125984" bottom="0.39370078740157483" header="0.15748031496062992" footer="0.15748031496062992"/>
  <pageSetup paperSize="9" firstPageNumber="80" orientation="portrait" useFirstPageNumber="1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view="pageBreakPreview" topLeftCell="B76" zoomScale="130" zoomScaleSheetLayoutView="130" workbookViewId="0">
      <selection activeCell="E100" sqref="E100"/>
    </sheetView>
  </sheetViews>
  <sheetFormatPr defaultRowHeight="14.25" x14ac:dyDescent="0.2"/>
  <cols>
    <col min="1" max="1" width="2.5" style="286" customWidth="1"/>
    <col min="2" max="2" width="3" style="286" customWidth="1"/>
    <col min="3" max="3" width="10.33203125" style="540" customWidth="1"/>
    <col min="4" max="4" width="51.83203125" style="286" customWidth="1"/>
    <col min="5" max="5" width="13.83203125" style="335" customWidth="1"/>
    <col min="6" max="7" width="13.83203125" style="335" hidden="1" customWidth="1"/>
    <col min="8" max="8" width="9.1640625" style="335" hidden="1" customWidth="1"/>
    <col min="9" max="9" width="9.33203125" style="286"/>
    <col min="10" max="10" width="2.33203125" style="286" customWidth="1"/>
    <col min="11" max="11" width="10" style="286" customWidth="1"/>
    <col min="12" max="12" width="53.6640625" style="286" customWidth="1"/>
    <col min="13" max="16384" width="9.33203125" style="286"/>
  </cols>
  <sheetData>
    <row r="1" spans="1:8" ht="49.5" customHeight="1" x14ac:dyDescent="0.2">
      <c r="A1" s="1603" t="s">
        <v>326</v>
      </c>
      <c r="B1" s="1603"/>
      <c r="C1" s="1603"/>
      <c r="D1" s="343" t="s">
        <v>883</v>
      </c>
      <c r="E1" s="541" t="s">
        <v>1480</v>
      </c>
      <c r="F1" s="541" t="s">
        <v>1432</v>
      </c>
      <c r="G1" s="541" t="s">
        <v>1433</v>
      </c>
      <c r="H1" s="541" t="s">
        <v>3</v>
      </c>
    </row>
    <row r="2" spans="1:8" ht="18" customHeight="1" x14ac:dyDescent="0.25">
      <c r="A2" s="542" t="s">
        <v>884</v>
      </c>
      <c r="B2" s="543"/>
      <c r="C2" s="544"/>
      <c r="D2" s="1617" t="s">
        <v>885</v>
      </c>
      <c r="E2" s="1617"/>
      <c r="F2" s="546"/>
      <c r="G2" s="546"/>
      <c r="H2" s="546"/>
    </row>
    <row r="3" spans="1:8" ht="15" customHeight="1" x14ac:dyDescent="0.25">
      <c r="A3" s="547"/>
      <c r="B3" s="548"/>
      <c r="C3" s="291"/>
      <c r="D3" s="549" t="s">
        <v>886</v>
      </c>
      <c r="E3" s="550"/>
      <c r="F3" s="550"/>
      <c r="G3" s="550"/>
      <c r="H3" s="550"/>
    </row>
    <row r="4" spans="1:8" ht="15" customHeight="1" x14ac:dyDescent="0.25">
      <c r="A4" s="296"/>
      <c r="B4" s="548" t="s">
        <v>5</v>
      </c>
      <c r="C4" s="363"/>
      <c r="D4" s="551" t="s">
        <v>198</v>
      </c>
      <c r="E4" s="552"/>
      <c r="F4" s="552"/>
      <c r="G4" s="552"/>
      <c r="H4" s="552"/>
    </row>
    <row r="5" spans="1:8" ht="15" customHeight="1" x14ac:dyDescent="0.25">
      <c r="A5" s="296"/>
      <c r="B5" s="553"/>
      <c r="C5" s="291" t="s">
        <v>103</v>
      </c>
      <c r="D5" s="309" t="s">
        <v>887</v>
      </c>
      <c r="E5" s="310"/>
      <c r="F5" s="310"/>
      <c r="G5" s="310">
        <v>19</v>
      </c>
      <c r="H5" s="310"/>
    </row>
    <row r="6" spans="1:8" ht="15" customHeight="1" x14ac:dyDescent="0.25">
      <c r="A6" s="296"/>
      <c r="B6" s="553"/>
      <c r="C6" s="291" t="s">
        <v>105</v>
      </c>
      <c r="D6" s="309" t="s">
        <v>888</v>
      </c>
      <c r="E6" s="310">
        <v>0</v>
      </c>
      <c r="F6" s="310">
        <v>0</v>
      </c>
      <c r="G6" s="310">
        <v>0</v>
      </c>
      <c r="H6" s="310"/>
    </row>
    <row r="7" spans="1:8" ht="15" customHeight="1" x14ac:dyDescent="0.25">
      <c r="A7" s="296"/>
      <c r="B7" s="553"/>
      <c r="C7" s="291" t="s">
        <v>107</v>
      </c>
      <c r="D7" s="309" t="s">
        <v>889</v>
      </c>
      <c r="E7" s="310">
        <f>SUM(E8)</f>
        <v>41663</v>
      </c>
      <c r="F7" s="310">
        <f>SUM(F8)</f>
        <v>0</v>
      </c>
      <c r="G7" s="310">
        <f>SUM(G8)</f>
        <v>0</v>
      </c>
      <c r="H7" s="310" t="e">
        <f t="shared" ref="H7:H70" si="0">G7/F7*100</f>
        <v>#DIV/0!</v>
      </c>
    </row>
    <row r="8" spans="1:8" s="307" customFormat="1" ht="15" customHeight="1" x14ac:dyDescent="0.25">
      <c r="A8" s="554"/>
      <c r="B8" s="555"/>
      <c r="C8" s="316" t="s">
        <v>397</v>
      </c>
      <c r="D8" s="313" t="s">
        <v>890</v>
      </c>
      <c r="E8" s="314">
        <f>SUM(E9+E14+E19)</f>
        <v>41663</v>
      </c>
      <c r="F8" s="314">
        <f>SUM(F9+F14+F19)</f>
        <v>0</v>
      </c>
      <c r="G8" s="314">
        <f>SUM(G9+G14+G19)</f>
        <v>0</v>
      </c>
      <c r="H8" s="314" t="e">
        <f t="shared" si="0"/>
        <v>#DIV/0!</v>
      </c>
    </row>
    <row r="9" spans="1:8" ht="15" customHeight="1" x14ac:dyDescent="0.25">
      <c r="A9" s="296"/>
      <c r="B9" s="553"/>
      <c r="C9" s="363" t="s">
        <v>891</v>
      </c>
      <c r="D9" s="556" t="s">
        <v>892</v>
      </c>
      <c r="E9" s="310">
        <f>SUM(E10:E13)</f>
        <v>20630</v>
      </c>
      <c r="F9" s="310">
        <f>SUM(F10:F13)</f>
        <v>0</v>
      </c>
      <c r="G9" s="310">
        <f>SUM(G10:G13)</f>
        <v>0</v>
      </c>
      <c r="H9" s="310" t="e">
        <f t="shared" si="0"/>
        <v>#DIV/0!</v>
      </c>
    </row>
    <row r="10" spans="1:8" ht="15" customHeight="1" x14ac:dyDescent="0.25">
      <c r="A10" s="296"/>
      <c r="B10" s="553"/>
      <c r="C10" s="363" t="s">
        <v>893</v>
      </c>
      <c r="D10" s="557" t="s">
        <v>894</v>
      </c>
      <c r="E10" s="310">
        <v>8048</v>
      </c>
      <c r="F10" s="310"/>
      <c r="G10" s="310"/>
      <c r="H10" s="310" t="e">
        <f t="shared" si="0"/>
        <v>#DIV/0!</v>
      </c>
    </row>
    <row r="11" spans="1:8" ht="15" customHeight="1" x14ac:dyDescent="0.25">
      <c r="A11" s="296"/>
      <c r="B11" s="553"/>
      <c r="C11" s="363" t="s">
        <v>895</v>
      </c>
      <c r="D11" s="557" t="s">
        <v>896</v>
      </c>
      <c r="E11" s="310">
        <v>1478</v>
      </c>
      <c r="F11" s="310"/>
      <c r="G11" s="310"/>
      <c r="H11" s="310" t="e">
        <f t="shared" si="0"/>
        <v>#DIV/0!</v>
      </c>
    </row>
    <row r="12" spans="1:8" ht="15" customHeight="1" x14ac:dyDescent="0.25">
      <c r="A12" s="296"/>
      <c r="B12" s="553"/>
      <c r="C12" s="363" t="s">
        <v>897</v>
      </c>
      <c r="D12" s="557" t="s">
        <v>898</v>
      </c>
      <c r="E12" s="310">
        <v>6459</v>
      </c>
      <c r="F12" s="310"/>
      <c r="G12" s="310"/>
      <c r="H12" s="310" t="e">
        <f t="shared" si="0"/>
        <v>#DIV/0!</v>
      </c>
    </row>
    <row r="13" spans="1:8" ht="15" customHeight="1" x14ac:dyDescent="0.25">
      <c r="A13" s="296"/>
      <c r="B13" s="553"/>
      <c r="C13" s="363" t="s">
        <v>899</v>
      </c>
      <c r="D13" s="557" t="s">
        <v>900</v>
      </c>
      <c r="E13" s="310">
        <v>4645</v>
      </c>
      <c r="F13" s="310"/>
      <c r="G13" s="310"/>
      <c r="H13" s="310" t="e">
        <f t="shared" si="0"/>
        <v>#DIV/0!</v>
      </c>
    </row>
    <row r="14" spans="1:8" ht="15" customHeight="1" x14ac:dyDescent="0.25">
      <c r="A14" s="296"/>
      <c r="B14" s="553"/>
      <c r="C14" s="363" t="s">
        <v>901</v>
      </c>
      <c r="D14" s="556" t="s">
        <v>902</v>
      </c>
      <c r="E14" s="310">
        <f>SUM(E15:E18)</f>
        <v>15669</v>
      </c>
      <c r="F14" s="310">
        <f>SUM(F15:F18)</f>
        <v>0</v>
      </c>
      <c r="G14" s="310">
        <f>SUM(G15:G18)</f>
        <v>0</v>
      </c>
      <c r="H14" s="310" t="e">
        <f t="shared" si="0"/>
        <v>#DIV/0!</v>
      </c>
    </row>
    <row r="15" spans="1:8" ht="15" customHeight="1" x14ac:dyDescent="0.25">
      <c r="A15" s="296"/>
      <c r="B15" s="553"/>
      <c r="C15" s="363" t="s">
        <v>903</v>
      </c>
      <c r="D15" s="557" t="s">
        <v>894</v>
      </c>
      <c r="E15" s="310">
        <v>6112</v>
      </c>
      <c r="F15" s="310"/>
      <c r="G15" s="310"/>
      <c r="H15" s="310" t="e">
        <f t="shared" si="0"/>
        <v>#DIV/0!</v>
      </c>
    </row>
    <row r="16" spans="1:8" ht="15" customHeight="1" x14ac:dyDescent="0.25">
      <c r="A16" s="296"/>
      <c r="B16" s="553"/>
      <c r="C16" s="363" t="s">
        <v>904</v>
      </c>
      <c r="D16" s="557" t="s">
        <v>896</v>
      </c>
      <c r="E16" s="310">
        <v>1123</v>
      </c>
      <c r="F16" s="310"/>
      <c r="G16" s="310"/>
      <c r="H16" s="310" t="e">
        <f t="shared" si="0"/>
        <v>#DIV/0!</v>
      </c>
    </row>
    <row r="17" spans="1:11" ht="15" customHeight="1" x14ac:dyDescent="0.25">
      <c r="A17" s="296"/>
      <c r="B17" s="553"/>
      <c r="C17" s="363" t="s">
        <v>905</v>
      </c>
      <c r="D17" s="557" t="s">
        <v>898</v>
      </c>
      <c r="E17" s="310">
        <v>4906</v>
      </c>
      <c r="F17" s="310"/>
      <c r="G17" s="310"/>
      <c r="H17" s="310" t="e">
        <f t="shared" si="0"/>
        <v>#DIV/0!</v>
      </c>
    </row>
    <row r="18" spans="1:11" ht="15" customHeight="1" x14ac:dyDescent="0.25">
      <c r="A18" s="296"/>
      <c r="B18" s="553"/>
      <c r="C18" s="363" t="s">
        <v>906</v>
      </c>
      <c r="D18" s="557" t="s">
        <v>900</v>
      </c>
      <c r="E18" s="310">
        <v>3528</v>
      </c>
      <c r="F18" s="310"/>
      <c r="G18" s="310"/>
      <c r="H18" s="310" t="e">
        <f t="shared" si="0"/>
        <v>#DIV/0!</v>
      </c>
    </row>
    <row r="19" spans="1:11" ht="15" customHeight="1" x14ac:dyDescent="0.25">
      <c r="A19" s="296"/>
      <c r="B19" s="553"/>
      <c r="C19" s="363" t="s">
        <v>907</v>
      </c>
      <c r="D19" s="556" t="s">
        <v>908</v>
      </c>
      <c r="E19" s="310">
        <f>SUM(E20:E20)</f>
        <v>5364</v>
      </c>
      <c r="F19" s="310">
        <f>SUM(F20:F20)</f>
        <v>0</v>
      </c>
      <c r="G19" s="310">
        <f>SUM(G20:G20)</f>
        <v>0</v>
      </c>
      <c r="H19" s="310" t="e">
        <f t="shared" si="0"/>
        <v>#DIV/0!</v>
      </c>
      <c r="K19" s="335">
        <f>SUM(E49-E25)</f>
        <v>0</v>
      </c>
    </row>
    <row r="20" spans="1:11" ht="15" customHeight="1" x14ac:dyDescent="0.25">
      <c r="A20" s="296"/>
      <c r="B20" s="553"/>
      <c r="C20" s="363" t="s">
        <v>909</v>
      </c>
      <c r="D20" s="557" t="s">
        <v>894</v>
      </c>
      <c r="E20" s="368">
        <v>5364</v>
      </c>
      <c r="F20" s="310"/>
      <c r="G20" s="310"/>
      <c r="H20" s="310" t="e">
        <f t="shared" si="0"/>
        <v>#DIV/0!</v>
      </c>
    </row>
    <row r="21" spans="1:11" ht="15" customHeight="1" x14ac:dyDescent="0.25">
      <c r="A21" s="296"/>
      <c r="B21" s="553"/>
      <c r="C21" s="291" t="s">
        <v>109</v>
      </c>
      <c r="D21" s="309" t="s">
        <v>442</v>
      </c>
      <c r="E21" s="310">
        <f>SUM(E22:E24)</f>
        <v>0</v>
      </c>
      <c r="F21" s="310">
        <f>SUM(F22:F24)</f>
        <v>0</v>
      </c>
      <c r="G21" s="310">
        <f>SUM(G22:G24)</f>
        <v>0</v>
      </c>
      <c r="H21" s="310"/>
    </row>
    <row r="22" spans="1:11" ht="15" customHeight="1" x14ac:dyDescent="0.25">
      <c r="A22" s="296"/>
      <c r="B22" s="553"/>
      <c r="C22" s="363"/>
      <c r="D22" s="557" t="s">
        <v>898</v>
      </c>
      <c r="E22" s="310"/>
      <c r="F22" s="310">
        <v>0</v>
      </c>
      <c r="G22" s="310">
        <v>0</v>
      </c>
      <c r="H22" s="310"/>
      <c r="I22" s="335"/>
    </row>
    <row r="23" spans="1:11" ht="15" customHeight="1" x14ac:dyDescent="0.25">
      <c r="A23" s="296"/>
      <c r="B23" s="553"/>
      <c r="C23" s="363"/>
      <c r="D23" s="557" t="s">
        <v>900</v>
      </c>
      <c r="E23" s="310"/>
      <c r="F23" s="310">
        <v>0</v>
      </c>
      <c r="G23" s="310">
        <v>0</v>
      </c>
      <c r="H23" s="310"/>
      <c r="I23" s="335"/>
    </row>
    <row r="24" spans="1:11" ht="15" customHeight="1" x14ac:dyDescent="0.25">
      <c r="A24" s="296"/>
      <c r="B24" s="553"/>
      <c r="C24" s="363"/>
      <c r="D24" s="557" t="s">
        <v>896</v>
      </c>
      <c r="E24" s="310"/>
      <c r="F24" s="310">
        <v>0</v>
      </c>
      <c r="G24" s="310"/>
      <c r="H24" s="310"/>
      <c r="I24" s="335"/>
    </row>
    <row r="25" spans="1:11" ht="15" customHeight="1" x14ac:dyDescent="0.25">
      <c r="A25" s="296"/>
      <c r="B25" s="553"/>
      <c r="C25" s="363"/>
      <c r="D25" s="558" t="s">
        <v>910</v>
      </c>
      <c r="E25" s="559">
        <f>SUM(E5+E7+E6+E21)</f>
        <v>41663</v>
      </c>
      <c r="F25" s="559">
        <f>SUM(F5+F7+F6+F21)</f>
        <v>0</v>
      </c>
      <c r="G25" s="559">
        <f>SUM(G5+G7+G6+G21)</f>
        <v>19</v>
      </c>
      <c r="H25" s="559" t="e">
        <f t="shared" si="0"/>
        <v>#DIV/0!</v>
      </c>
      <c r="I25" s="335"/>
    </row>
    <row r="26" spans="1:11" ht="15" customHeight="1" x14ac:dyDescent="0.25">
      <c r="A26" s="296"/>
      <c r="B26" s="548" t="s">
        <v>6</v>
      </c>
      <c r="C26" s="364"/>
      <c r="D26" s="551" t="s">
        <v>199</v>
      </c>
      <c r="E26" s="552"/>
      <c r="F26" s="552"/>
      <c r="G26" s="552"/>
      <c r="H26" s="552"/>
      <c r="I26" s="335"/>
    </row>
    <row r="27" spans="1:11" ht="15" customHeight="1" x14ac:dyDescent="0.25">
      <c r="A27" s="296"/>
      <c r="B27" s="553"/>
      <c r="C27" s="364" t="s">
        <v>7</v>
      </c>
      <c r="D27" s="309" t="s">
        <v>538</v>
      </c>
      <c r="E27" s="310">
        <f>SUM(E28:E31)</f>
        <v>25223</v>
      </c>
      <c r="F27" s="310">
        <f>SUM(F28:F31)</f>
        <v>0</v>
      </c>
      <c r="G27" s="310">
        <f>SUM(G28:G31)</f>
        <v>0</v>
      </c>
      <c r="H27" s="310" t="e">
        <f t="shared" si="0"/>
        <v>#DIV/0!</v>
      </c>
      <c r="I27" s="335"/>
    </row>
    <row r="28" spans="1:11" ht="15" customHeight="1" x14ac:dyDescent="0.25">
      <c r="A28" s="296"/>
      <c r="B28" s="553"/>
      <c r="C28" s="364" t="s">
        <v>477</v>
      </c>
      <c r="D28" s="557" t="s">
        <v>894</v>
      </c>
      <c r="E28" s="310">
        <v>11629</v>
      </c>
      <c r="F28" s="310"/>
      <c r="G28" s="310"/>
      <c r="H28" s="310" t="e">
        <f t="shared" si="0"/>
        <v>#DIV/0!</v>
      </c>
      <c r="I28" s="335"/>
    </row>
    <row r="29" spans="1:11" ht="15" customHeight="1" x14ac:dyDescent="0.25">
      <c r="A29" s="296"/>
      <c r="B29" s="553"/>
      <c r="C29" s="364" t="s">
        <v>503</v>
      </c>
      <c r="D29" s="557" t="s">
        <v>896</v>
      </c>
      <c r="E29" s="310">
        <v>969</v>
      </c>
      <c r="F29" s="310"/>
      <c r="G29" s="310"/>
      <c r="H29" s="310" t="e">
        <f t="shared" si="0"/>
        <v>#DIV/0!</v>
      </c>
      <c r="I29" s="335"/>
    </row>
    <row r="30" spans="1:11" ht="15" customHeight="1" x14ac:dyDescent="0.25">
      <c r="A30" s="296"/>
      <c r="B30" s="553"/>
      <c r="C30" s="364" t="s">
        <v>423</v>
      </c>
      <c r="D30" s="557" t="s">
        <v>898</v>
      </c>
      <c r="E30" s="310">
        <v>6738</v>
      </c>
      <c r="F30" s="310"/>
      <c r="G30" s="310"/>
      <c r="H30" s="310" t="e">
        <f t="shared" si="0"/>
        <v>#DIV/0!</v>
      </c>
      <c r="I30" s="335"/>
    </row>
    <row r="31" spans="1:11" ht="15" customHeight="1" x14ac:dyDescent="0.25">
      <c r="A31" s="296"/>
      <c r="B31" s="553"/>
      <c r="C31" s="364" t="s">
        <v>842</v>
      </c>
      <c r="D31" s="557" t="s">
        <v>900</v>
      </c>
      <c r="E31" s="310">
        <v>5887</v>
      </c>
      <c r="F31" s="310"/>
      <c r="G31" s="310"/>
      <c r="H31" s="310" t="e">
        <f t="shared" si="0"/>
        <v>#DIV/0!</v>
      </c>
      <c r="I31" s="335"/>
    </row>
    <row r="32" spans="1:11" ht="15" customHeight="1" x14ac:dyDescent="0.25">
      <c r="A32" s="296"/>
      <c r="B32" s="553"/>
      <c r="C32" s="364" t="s">
        <v>9</v>
      </c>
      <c r="D32" s="309" t="s">
        <v>539</v>
      </c>
      <c r="E32" s="310">
        <f>SUM(E33:E36)</f>
        <v>6603</v>
      </c>
      <c r="F32" s="310">
        <f>SUM(F33:F36)</f>
        <v>0</v>
      </c>
      <c r="G32" s="310">
        <f>SUM(G33:G36)</f>
        <v>0</v>
      </c>
      <c r="H32" s="310" t="e">
        <f t="shared" si="0"/>
        <v>#DIV/0!</v>
      </c>
      <c r="I32" s="335"/>
    </row>
    <row r="33" spans="1:9" ht="15" customHeight="1" x14ac:dyDescent="0.25">
      <c r="A33" s="296"/>
      <c r="B33" s="553"/>
      <c r="C33" s="364" t="s">
        <v>507</v>
      </c>
      <c r="D33" s="557" t="s">
        <v>894</v>
      </c>
      <c r="E33" s="310">
        <v>3029</v>
      </c>
      <c r="F33" s="310"/>
      <c r="G33" s="310"/>
      <c r="H33" s="310" t="e">
        <f t="shared" si="0"/>
        <v>#DIV/0!</v>
      </c>
      <c r="I33" s="335"/>
    </row>
    <row r="34" spans="1:9" ht="15" customHeight="1" x14ac:dyDescent="0.25">
      <c r="A34" s="296"/>
      <c r="B34" s="553"/>
      <c r="C34" s="364" t="s">
        <v>911</v>
      </c>
      <c r="D34" s="557" t="s">
        <v>896</v>
      </c>
      <c r="E34" s="310">
        <v>248</v>
      </c>
      <c r="F34" s="310"/>
      <c r="G34" s="310"/>
      <c r="H34" s="310" t="e">
        <f t="shared" si="0"/>
        <v>#DIV/0!</v>
      </c>
      <c r="I34" s="335"/>
    </row>
    <row r="35" spans="1:9" ht="15" customHeight="1" x14ac:dyDescent="0.25">
      <c r="A35" s="296"/>
      <c r="B35" s="553"/>
      <c r="C35" s="364" t="s">
        <v>912</v>
      </c>
      <c r="D35" s="557" t="s">
        <v>898</v>
      </c>
      <c r="E35" s="310">
        <v>1780</v>
      </c>
      <c r="F35" s="310"/>
      <c r="G35" s="310"/>
      <c r="H35" s="310" t="e">
        <f t="shared" si="0"/>
        <v>#DIV/0!</v>
      </c>
      <c r="I35" s="335"/>
    </row>
    <row r="36" spans="1:9" ht="15" customHeight="1" x14ac:dyDescent="0.25">
      <c r="A36" s="296"/>
      <c r="B36" s="553"/>
      <c r="C36" s="364" t="s">
        <v>913</v>
      </c>
      <c r="D36" s="557" t="s">
        <v>900</v>
      </c>
      <c r="E36" s="310">
        <v>1546</v>
      </c>
      <c r="F36" s="310"/>
      <c r="G36" s="310"/>
      <c r="H36" s="310" t="e">
        <f t="shared" si="0"/>
        <v>#DIV/0!</v>
      </c>
      <c r="I36" s="335"/>
    </row>
    <row r="37" spans="1:9" ht="15" customHeight="1" x14ac:dyDescent="0.25">
      <c r="A37" s="296"/>
      <c r="B37" s="553"/>
      <c r="C37" s="364" t="s">
        <v>11</v>
      </c>
      <c r="D37" s="309" t="s">
        <v>203</v>
      </c>
      <c r="E37" s="310">
        <f>SUM(E38:E41)</f>
        <v>5690</v>
      </c>
      <c r="F37" s="310">
        <f>SUM(F38:F41)</f>
        <v>0</v>
      </c>
      <c r="G37" s="310">
        <f>SUM(G38:G41)</f>
        <v>0</v>
      </c>
      <c r="H37" s="310" t="e">
        <f t="shared" si="0"/>
        <v>#DIV/0!</v>
      </c>
      <c r="I37" s="335"/>
    </row>
    <row r="38" spans="1:9" ht="15" customHeight="1" x14ac:dyDescent="0.25">
      <c r="A38" s="296"/>
      <c r="B38" s="553"/>
      <c r="C38" s="364" t="s">
        <v>509</v>
      </c>
      <c r="D38" s="557" t="s">
        <v>894</v>
      </c>
      <c r="E38" s="310">
        <v>4864</v>
      </c>
      <c r="F38" s="310"/>
      <c r="G38" s="310"/>
      <c r="H38" s="310" t="e">
        <f t="shared" si="0"/>
        <v>#DIV/0!</v>
      </c>
      <c r="I38" s="335"/>
    </row>
    <row r="39" spans="1:9" ht="15" customHeight="1" x14ac:dyDescent="0.25">
      <c r="A39" s="296"/>
      <c r="B39" s="553"/>
      <c r="C39" s="364" t="s">
        <v>760</v>
      </c>
      <c r="D39" s="557" t="s">
        <v>896</v>
      </c>
      <c r="E39" s="310">
        <v>733</v>
      </c>
      <c r="F39" s="310"/>
      <c r="G39" s="310"/>
      <c r="H39" s="310" t="e">
        <f t="shared" si="0"/>
        <v>#DIV/0!</v>
      </c>
      <c r="I39" s="335"/>
    </row>
    <row r="40" spans="1:9" ht="15" customHeight="1" x14ac:dyDescent="0.25">
      <c r="A40" s="296"/>
      <c r="B40" s="553"/>
      <c r="C40" s="364" t="s">
        <v>761</v>
      </c>
      <c r="D40" s="557" t="s">
        <v>898</v>
      </c>
      <c r="E40" s="310">
        <v>35</v>
      </c>
      <c r="F40" s="310"/>
      <c r="G40" s="310"/>
      <c r="H40" s="310" t="e">
        <f t="shared" si="0"/>
        <v>#DIV/0!</v>
      </c>
      <c r="I40" s="335"/>
    </row>
    <row r="41" spans="1:9" ht="15" customHeight="1" x14ac:dyDescent="0.25">
      <c r="A41" s="296"/>
      <c r="B41" s="553"/>
      <c r="C41" s="364" t="s">
        <v>914</v>
      </c>
      <c r="D41" s="557" t="s">
        <v>900</v>
      </c>
      <c r="E41" s="310">
        <v>58</v>
      </c>
      <c r="F41" s="310"/>
      <c r="G41" s="310"/>
      <c r="H41" s="310" t="e">
        <f t="shared" si="0"/>
        <v>#DIV/0!</v>
      </c>
      <c r="I41" s="335"/>
    </row>
    <row r="42" spans="1:9" ht="15" customHeight="1" x14ac:dyDescent="0.25">
      <c r="A42" s="296"/>
      <c r="B42" s="553"/>
      <c r="C42" s="364" t="s">
        <v>13</v>
      </c>
      <c r="D42" s="309" t="s">
        <v>915</v>
      </c>
      <c r="E42" s="310">
        <f>SUM(E43:E45)</f>
        <v>4147</v>
      </c>
      <c r="F42" s="310">
        <f>SUM(F43:F45)</f>
        <v>0</v>
      </c>
      <c r="G42" s="310">
        <f>SUM(G43:G45)</f>
        <v>0</v>
      </c>
      <c r="H42" s="310" t="e">
        <f t="shared" si="0"/>
        <v>#DIV/0!</v>
      </c>
    </row>
    <row r="43" spans="1:9" ht="15" customHeight="1" x14ac:dyDescent="0.25">
      <c r="A43" s="296"/>
      <c r="B43" s="553"/>
      <c r="C43" s="364" t="s">
        <v>516</v>
      </c>
      <c r="D43" s="557" t="s">
        <v>898</v>
      </c>
      <c r="E43" s="310">
        <v>2813</v>
      </c>
      <c r="F43" s="310"/>
      <c r="G43" s="310"/>
      <c r="H43" s="310" t="e">
        <f t="shared" si="0"/>
        <v>#DIV/0!</v>
      </c>
    </row>
    <row r="44" spans="1:9" ht="15" customHeight="1" x14ac:dyDescent="0.25">
      <c r="A44" s="296"/>
      <c r="B44" s="553"/>
      <c r="C44" s="364" t="s">
        <v>916</v>
      </c>
      <c r="D44" s="557" t="s">
        <v>900</v>
      </c>
      <c r="E44" s="310">
        <v>682</v>
      </c>
      <c r="F44" s="310"/>
      <c r="G44" s="310"/>
      <c r="H44" s="310" t="e">
        <f t="shared" si="0"/>
        <v>#DIV/0!</v>
      </c>
    </row>
    <row r="45" spans="1:9" ht="15" customHeight="1" x14ac:dyDescent="0.25">
      <c r="A45" s="296"/>
      <c r="B45" s="553"/>
      <c r="C45" s="364" t="s">
        <v>917</v>
      </c>
      <c r="D45" s="557" t="s">
        <v>896</v>
      </c>
      <c r="E45" s="310">
        <v>652</v>
      </c>
      <c r="F45" s="310"/>
      <c r="G45" s="310"/>
      <c r="H45" s="310" t="e">
        <f t="shared" si="0"/>
        <v>#DIV/0!</v>
      </c>
    </row>
    <row r="46" spans="1:9" ht="15" customHeight="1" x14ac:dyDescent="0.25">
      <c r="A46" s="296"/>
      <c r="B46" s="553"/>
      <c r="C46" s="364" t="s">
        <v>15</v>
      </c>
      <c r="D46" s="309" t="s">
        <v>918</v>
      </c>
      <c r="E46" s="310"/>
      <c r="F46" s="310"/>
      <c r="G46" s="310"/>
      <c r="H46" s="310"/>
    </row>
    <row r="47" spans="1:9" ht="15" customHeight="1" x14ac:dyDescent="0.25">
      <c r="A47" s="296"/>
      <c r="B47" s="553"/>
      <c r="C47" s="364" t="s">
        <v>316</v>
      </c>
      <c r="D47" s="309" t="s">
        <v>919</v>
      </c>
      <c r="E47" s="310"/>
      <c r="F47" s="310"/>
      <c r="G47" s="310"/>
      <c r="H47" s="310" t="e">
        <f t="shared" si="0"/>
        <v>#DIV/0!</v>
      </c>
    </row>
    <row r="48" spans="1:9" ht="15" customHeight="1" x14ac:dyDescent="0.25">
      <c r="A48" s="296"/>
      <c r="B48" s="553"/>
      <c r="C48" s="364" t="s">
        <v>19</v>
      </c>
      <c r="D48" s="309" t="s">
        <v>1474</v>
      </c>
      <c r="E48" s="310"/>
      <c r="F48" s="310"/>
      <c r="G48" s="310"/>
      <c r="H48" s="310"/>
    </row>
    <row r="49" spans="1:11" ht="15" customHeight="1" x14ac:dyDescent="0.25">
      <c r="A49" s="296"/>
      <c r="B49" s="553"/>
      <c r="C49" s="364"/>
      <c r="D49" s="560" t="s">
        <v>921</v>
      </c>
      <c r="E49" s="559">
        <f>SUM(E27+E32+E37+E42+E46+E47+E48)</f>
        <v>41663</v>
      </c>
      <c r="F49" s="559">
        <f>SUM(F27+F32+F37+F42+F46+F47+F48)</f>
        <v>0</v>
      </c>
      <c r="G49" s="559">
        <f>SUM(G27+G32+G37+G42+G46+G47+G48)</f>
        <v>0</v>
      </c>
      <c r="H49" s="559" t="e">
        <f t="shared" si="0"/>
        <v>#DIV/0!</v>
      </c>
      <c r="K49" s="335"/>
    </row>
    <row r="50" spans="1:11" ht="15" customHeight="1" x14ac:dyDescent="0.25">
      <c r="A50" s="296"/>
      <c r="B50" s="548" t="s">
        <v>20</v>
      </c>
      <c r="C50" s="292"/>
      <c r="D50" s="561" t="s">
        <v>922</v>
      </c>
      <c r="E50" s="423">
        <v>11.5</v>
      </c>
      <c r="F50" s="428">
        <v>11</v>
      </c>
      <c r="G50" s="428">
        <v>11</v>
      </c>
      <c r="H50" s="428">
        <f t="shared" si="0"/>
        <v>100</v>
      </c>
    </row>
    <row r="51" spans="1:11" ht="15" customHeight="1" x14ac:dyDescent="0.25">
      <c r="A51" s="542"/>
      <c r="B51" s="543"/>
      <c r="C51" s="544"/>
      <c r="D51" s="1618" t="s">
        <v>923</v>
      </c>
      <c r="E51" s="1618"/>
      <c r="F51" s="562"/>
      <c r="G51" s="562"/>
      <c r="H51" s="562"/>
    </row>
    <row r="52" spans="1:11" ht="15" customHeight="1" x14ac:dyDescent="0.25">
      <c r="A52" s="296"/>
      <c r="B52" s="548" t="s">
        <v>5</v>
      </c>
      <c r="C52" s="363"/>
      <c r="D52" s="563" t="s">
        <v>198</v>
      </c>
      <c r="E52" s="564"/>
      <c r="F52" s="564"/>
      <c r="G52" s="564"/>
      <c r="H52" s="564"/>
    </row>
    <row r="53" spans="1:11" ht="15" customHeight="1" x14ac:dyDescent="0.25">
      <c r="A53" s="296"/>
      <c r="B53" s="553"/>
      <c r="C53" s="291" t="s">
        <v>103</v>
      </c>
      <c r="D53" s="309" t="s">
        <v>887</v>
      </c>
      <c r="E53" s="310">
        <v>0</v>
      </c>
      <c r="F53" s="310">
        <v>0</v>
      </c>
      <c r="G53" s="310">
        <v>0</v>
      </c>
      <c r="H53" s="310"/>
    </row>
    <row r="54" spans="1:11" ht="15" customHeight="1" x14ac:dyDescent="0.25">
      <c r="A54" s="296"/>
      <c r="B54" s="553"/>
      <c r="C54" s="291" t="s">
        <v>105</v>
      </c>
      <c r="D54" s="309" t="s">
        <v>888</v>
      </c>
      <c r="E54" s="310"/>
      <c r="F54" s="310"/>
      <c r="G54" s="310"/>
      <c r="H54" s="310"/>
    </row>
    <row r="55" spans="1:11" ht="15" customHeight="1" x14ac:dyDescent="0.25">
      <c r="A55" s="296"/>
      <c r="B55" s="553"/>
      <c r="C55" s="291" t="s">
        <v>107</v>
      </c>
      <c r="D55" s="309" t="s">
        <v>889</v>
      </c>
      <c r="E55" s="310">
        <f>SUM(E57+E62+E67+E69)</f>
        <v>49116</v>
      </c>
      <c r="F55" s="310">
        <f>SUM(F57+F62+F67+F69)</f>
        <v>0</v>
      </c>
      <c r="G55" s="310">
        <f>SUM(G57+G62+G67+G69)</f>
        <v>0</v>
      </c>
      <c r="H55" s="310" t="e">
        <f t="shared" si="0"/>
        <v>#DIV/0!</v>
      </c>
    </row>
    <row r="56" spans="1:11" s="307" customFormat="1" ht="15" customHeight="1" x14ac:dyDescent="0.25">
      <c r="A56" s="554"/>
      <c r="B56" s="555"/>
      <c r="C56" s="316" t="s">
        <v>397</v>
      </c>
      <c r="D56" s="313" t="s">
        <v>890</v>
      </c>
      <c r="E56" s="314">
        <f>SUM(E57+E62+E67)</f>
        <v>49116</v>
      </c>
      <c r="F56" s="314">
        <f>SUM(F57+F62+F67)</f>
        <v>0</v>
      </c>
      <c r="G56" s="314">
        <f>SUM(G57+G62+G67)</f>
        <v>0</v>
      </c>
      <c r="H56" s="314" t="e">
        <f t="shared" si="0"/>
        <v>#DIV/0!</v>
      </c>
    </row>
    <row r="57" spans="1:11" ht="15" customHeight="1" x14ac:dyDescent="0.25">
      <c r="A57" s="296"/>
      <c r="B57" s="553"/>
      <c r="C57" s="363" t="s">
        <v>891</v>
      </c>
      <c r="D57" s="556" t="s">
        <v>892</v>
      </c>
      <c r="E57" s="310">
        <f>SUM(E58:E61)</f>
        <v>20630</v>
      </c>
      <c r="F57" s="310">
        <f>SUM(F58:F61)</f>
        <v>0</v>
      </c>
      <c r="G57" s="310">
        <f>SUM(G58:G61)</f>
        <v>0</v>
      </c>
      <c r="H57" s="310" t="e">
        <f t="shared" si="0"/>
        <v>#DIV/0!</v>
      </c>
    </row>
    <row r="58" spans="1:11" ht="15" customHeight="1" x14ac:dyDescent="0.25">
      <c r="A58" s="296"/>
      <c r="B58" s="553"/>
      <c r="C58" s="363" t="s">
        <v>893</v>
      </c>
      <c r="D58" s="557" t="s">
        <v>894</v>
      </c>
      <c r="E58" s="310">
        <v>8048</v>
      </c>
      <c r="F58" s="310"/>
      <c r="G58" s="310"/>
      <c r="H58" s="310" t="e">
        <f t="shared" si="0"/>
        <v>#DIV/0!</v>
      </c>
    </row>
    <row r="59" spans="1:11" ht="15" customHeight="1" x14ac:dyDescent="0.25">
      <c r="A59" s="296"/>
      <c r="B59" s="553"/>
      <c r="C59" s="363" t="s">
        <v>895</v>
      </c>
      <c r="D59" s="557" t="s">
        <v>896</v>
      </c>
      <c r="E59" s="310">
        <v>1478</v>
      </c>
      <c r="F59" s="310"/>
      <c r="G59" s="310"/>
      <c r="H59" s="310" t="e">
        <f t="shared" si="0"/>
        <v>#DIV/0!</v>
      </c>
    </row>
    <row r="60" spans="1:11" ht="15" customHeight="1" x14ac:dyDescent="0.25">
      <c r="A60" s="296"/>
      <c r="B60" s="553"/>
      <c r="C60" s="363" t="s">
        <v>897</v>
      </c>
      <c r="D60" s="557" t="s">
        <v>898</v>
      </c>
      <c r="E60" s="310">
        <v>6459</v>
      </c>
      <c r="F60" s="310"/>
      <c r="G60" s="310"/>
      <c r="H60" s="310" t="e">
        <f t="shared" si="0"/>
        <v>#DIV/0!</v>
      </c>
    </row>
    <row r="61" spans="1:11" ht="15" customHeight="1" x14ac:dyDescent="0.25">
      <c r="A61" s="296"/>
      <c r="B61" s="553"/>
      <c r="C61" s="363" t="s">
        <v>899</v>
      </c>
      <c r="D61" s="557" t="s">
        <v>900</v>
      </c>
      <c r="E61" s="310">
        <v>4645</v>
      </c>
      <c r="F61" s="310"/>
      <c r="G61" s="310"/>
      <c r="H61" s="310" t="e">
        <f t="shared" si="0"/>
        <v>#DIV/0!</v>
      </c>
    </row>
    <row r="62" spans="1:11" ht="15" customHeight="1" x14ac:dyDescent="0.25">
      <c r="A62" s="296"/>
      <c r="B62" s="553"/>
      <c r="C62" s="363" t="s">
        <v>901</v>
      </c>
      <c r="D62" s="556" t="s">
        <v>902</v>
      </c>
      <c r="E62" s="310">
        <f>SUM(E63:E66)</f>
        <v>15669</v>
      </c>
      <c r="F62" s="310">
        <f>SUM(F63:F66)</f>
        <v>0</v>
      </c>
      <c r="G62" s="310">
        <f>SUM(G63:G66)</f>
        <v>0</v>
      </c>
      <c r="H62" s="310" t="e">
        <f t="shared" si="0"/>
        <v>#DIV/0!</v>
      </c>
    </row>
    <row r="63" spans="1:11" ht="15" customHeight="1" x14ac:dyDescent="0.25">
      <c r="A63" s="296"/>
      <c r="B63" s="553"/>
      <c r="C63" s="363" t="s">
        <v>903</v>
      </c>
      <c r="D63" s="557" t="s">
        <v>894</v>
      </c>
      <c r="E63" s="310">
        <v>6112</v>
      </c>
      <c r="F63" s="310"/>
      <c r="G63" s="310"/>
      <c r="H63" s="310" t="e">
        <f t="shared" si="0"/>
        <v>#DIV/0!</v>
      </c>
    </row>
    <row r="64" spans="1:11" ht="15" customHeight="1" x14ac:dyDescent="0.25">
      <c r="A64" s="296"/>
      <c r="B64" s="553"/>
      <c r="C64" s="363" t="s">
        <v>904</v>
      </c>
      <c r="D64" s="557" t="s">
        <v>896</v>
      </c>
      <c r="E64" s="310">
        <v>1123</v>
      </c>
      <c r="F64" s="310"/>
      <c r="G64" s="310"/>
      <c r="H64" s="310" t="e">
        <f t="shared" si="0"/>
        <v>#DIV/0!</v>
      </c>
    </row>
    <row r="65" spans="1:12" ht="15" customHeight="1" x14ac:dyDescent="0.25">
      <c r="A65" s="296"/>
      <c r="B65" s="553"/>
      <c r="C65" s="363" t="s">
        <v>905</v>
      </c>
      <c r="D65" s="557" t="s">
        <v>898</v>
      </c>
      <c r="E65" s="310">
        <v>4906</v>
      </c>
      <c r="F65" s="310"/>
      <c r="G65" s="310"/>
      <c r="H65" s="310" t="e">
        <f t="shared" si="0"/>
        <v>#DIV/0!</v>
      </c>
    </row>
    <row r="66" spans="1:12" ht="15" customHeight="1" x14ac:dyDescent="0.25">
      <c r="A66" s="296"/>
      <c r="B66" s="553"/>
      <c r="C66" s="363" t="s">
        <v>906</v>
      </c>
      <c r="D66" s="557" t="s">
        <v>900</v>
      </c>
      <c r="E66" s="310">
        <v>3528</v>
      </c>
      <c r="F66" s="310"/>
      <c r="G66" s="310"/>
      <c r="H66" s="310" t="e">
        <f t="shared" si="0"/>
        <v>#DIV/0!</v>
      </c>
      <c r="I66" s="335"/>
    </row>
    <row r="67" spans="1:12" ht="15" customHeight="1" x14ac:dyDescent="0.25">
      <c r="A67" s="296"/>
      <c r="B67" s="553"/>
      <c r="C67" s="363" t="s">
        <v>907</v>
      </c>
      <c r="D67" s="556" t="s">
        <v>908</v>
      </c>
      <c r="E67" s="310">
        <f>SUM(E68:E68)</f>
        <v>12817</v>
      </c>
      <c r="F67" s="310">
        <f>SUM(F68:F68)</f>
        <v>0</v>
      </c>
      <c r="G67" s="310">
        <f>SUM(G68:G68)</f>
        <v>0</v>
      </c>
      <c r="H67" s="310" t="e">
        <f t="shared" si="0"/>
        <v>#DIV/0!</v>
      </c>
    </row>
    <row r="68" spans="1:12" ht="15" customHeight="1" x14ac:dyDescent="0.25">
      <c r="A68" s="296"/>
      <c r="B68" s="553"/>
      <c r="C68" s="363" t="s">
        <v>909</v>
      </c>
      <c r="D68" s="557" t="s">
        <v>894</v>
      </c>
      <c r="E68" s="368">
        <v>12817</v>
      </c>
      <c r="F68" s="310"/>
      <c r="G68" s="310"/>
      <c r="H68" s="310" t="e">
        <f t="shared" si="0"/>
        <v>#DIV/0!</v>
      </c>
    </row>
    <row r="69" spans="1:12" s="307" customFormat="1" ht="15" customHeight="1" x14ac:dyDescent="0.25">
      <c r="A69" s="554"/>
      <c r="B69" s="555"/>
      <c r="C69" s="316" t="s">
        <v>398</v>
      </c>
      <c r="D69" s="313" t="s">
        <v>924</v>
      </c>
      <c r="E69" s="565"/>
      <c r="F69" s="565"/>
      <c r="G69" s="565"/>
      <c r="H69" s="565"/>
      <c r="K69" s="362">
        <f>SUM(E98-E74)</f>
        <v>0</v>
      </c>
      <c r="L69" s="566"/>
    </row>
    <row r="70" spans="1:12" ht="15" customHeight="1" x14ac:dyDescent="0.25">
      <c r="A70" s="296"/>
      <c r="B70" s="553"/>
      <c r="C70" s="291" t="s">
        <v>109</v>
      </c>
      <c r="D70" s="309" t="s">
        <v>442</v>
      </c>
      <c r="E70" s="310">
        <f>SUM(E71:E73)</f>
        <v>2924</v>
      </c>
      <c r="F70" s="310">
        <f>SUM(F71:F73)</f>
        <v>0</v>
      </c>
      <c r="G70" s="310">
        <f>SUM(G71:G73)</f>
        <v>0</v>
      </c>
      <c r="H70" s="310" t="e">
        <f t="shared" si="0"/>
        <v>#DIV/0!</v>
      </c>
    </row>
    <row r="71" spans="1:12" ht="15" customHeight="1" x14ac:dyDescent="0.25">
      <c r="A71" s="296"/>
      <c r="B71" s="553"/>
      <c r="C71" s="363" t="s">
        <v>437</v>
      </c>
      <c r="D71" s="557" t="s">
        <v>896</v>
      </c>
      <c r="E71" s="310">
        <v>903</v>
      </c>
      <c r="F71" s="310"/>
      <c r="G71" s="310"/>
      <c r="H71" s="310" t="e">
        <f t="shared" ref="H71:H98" si="1">G71/F71*100</f>
        <v>#DIV/0!</v>
      </c>
    </row>
    <row r="72" spans="1:12" ht="15" customHeight="1" x14ac:dyDescent="0.25">
      <c r="A72" s="296"/>
      <c r="B72" s="553"/>
      <c r="C72" s="363" t="s">
        <v>555</v>
      </c>
      <c r="D72" s="557" t="s">
        <v>898</v>
      </c>
      <c r="E72" s="310">
        <v>1125</v>
      </c>
      <c r="F72" s="310"/>
      <c r="G72" s="310"/>
      <c r="H72" s="310" t="e">
        <f t="shared" si="1"/>
        <v>#DIV/0!</v>
      </c>
    </row>
    <row r="73" spans="1:12" ht="15" customHeight="1" x14ac:dyDescent="0.25">
      <c r="A73" s="296"/>
      <c r="B73" s="553"/>
      <c r="C73" s="363" t="s">
        <v>925</v>
      </c>
      <c r="D73" s="557" t="s">
        <v>900</v>
      </c>
      <c r="E73" s="310">
        <v>896</v>
      </c>
      <c r="F73" s="310"/>
      <c r="G73" s="310"/>
      <c r="H73" s="310" t="e">
        <f t="shared" si="1"/>
        <v>#DIV/0!</v>
      </c>
    </row>
    <row r="74" spans="1:12" ht="15" customHeight="1" x14ac:dyDescent="0.25">
      <c r="A74" s="296"/>
      <c r="B74" s="553"/>
      <c r="C74" s="363"/>
      <c r="D74" s="558" t="s">
        <v>910</v>
      </c>
      <c r="E74" s="559">
        <f>SUM(E53+E55+E54+E70)</f>
        <v>52040</v>
      </c>
      <c r="F74" s="559">
        <f>SUM(F53+F55+F54+F70)</f>
        <v>0</v>
      </c>
      <c r="G74" s="559">
        <f>SUM(G53+G55+G54+G70)</f>
        <v>0</v>
      </c>
      <c r="H74" s="559" t="e">
        <f t="shared" si="1"/>
        <v>#DIV/0!</v>
      </c>
      <c r="I74" s="335"/>
    </row>
    <row r="75" spans="1:12" ht="15" customHeight="1" x14ac:dyDescent="0.25">
      <c r="A75" s="296"/>
      <c r="B75" s="548" t="s">
        <v>6</v>
      </c>
      <c r="C75" s="364"/>
      <c r="D75" s="551" t="s">
        <v>199</v>
      </c>
      <c r="E75" s="567"/>
      <c r="F75" s="567"/>
      <c r="G75" s="567"/>
      <c r="H75" s="567"/>
    </row>
    <row r="76" spans="1:12" ht="15" customHeight="1" x14ac:dyDescent="0.25">
      <c r="A76" s="296"/>
      <c r="B76" s="553"/>
      <c r="C76" s="364" t="s">
        <v>7</v>
      </c>
      <c r="D76" s="309" t="s">
        <v>538</v>
      </c>
      <c r="E76" s="310">
        <f>SUM(E77:E80)</f>
        <v>36063</v>
      </c>
      <c r="F76" s="310">
        <f>SUM(F77:F80)</f>
        <v>0</v>
      </c>
      <c r="G76" s="310">
        <f>SUM(G77:G80)</f>
        <v>0</v>
      </c>
      <c r="H76" s="310" t="e">
        <f t="shared" si="1"/>
        <v>#DIV/0!</v>
      </c>
    </row>
    <row r="77" spans="1:12" ht="15" customHeight="1" x14ac:dyDescent="0.25">
      <c r="A77" s="296"/>
      <c r="B77" s="553"/>
      <c r="C77" s="364" t="s">
        <v>477</v>
      </c>
      <c r="D77" s="557" t="s">
        <v>894</v>
      </c>
      <c r="E77" s="310">
        <v>17912</v>
      </c>
      <c r="F77" s="310"/>
      <c r="G77" s="310"/>
      <c r="H77" s="310" t="e">
        <f t="shared" si="1"/>
        <v>#DIV/0!</v>
      </c>
    </row>
    <row r="78" spans="1:12" ht="15" customHeight="1" x14ac:dyDescent="0.25">
      <c r="A78" s="296"/>
      <c r="B78" s="553"/>
      <c r="C78" s="364" t="s">
        <v>503</v>
      </c>
      <c r="D78" s="557" t="s">
        <v>896</v>
      </c>
      <c r="E78" s="310">
        <v>1218</v>
      </c>
      <c r="F78" s="310"/>
      <c r="G78" s="310"/>
      <c r="H78" s="310" t="e">
        <f t="shared" si="1"/>
        <v>#DIV/0!</v>
      </c>
    </row>
    <row r="79" spans="1:12" ht="15" customHeight="1" x14ac:dyDescent="0.25">
      <c r="A79" s="296"/>
      <c r="B79" s="553"/>
      <c r="C79" s="364" t="s">
        <v>423</v>
      </c>
      <c r="D79" s="557" t="s">
        <v>898</v>
      </c>
      <c r="E79" s="310">
        <v>9822</v>
      </c>
      <c r="F79" s="310"/>
      <c r="G79" s="310"/>
      <c r="H79" s="310" t="e">
        <f t="shared" si="1"/>
        <v>#DIV/0!</v>
      </c>
    </row>
    <row r="80" spans="1:12" ht="15" customHeight="1" x14ac:dyDescent="0.25">
      <c r="A80" s="296"/>
      <c r="B80" s="553"/>
      <c r="C80" s="364" t="s">
        <v>842</v>
      </c>
      <c r="D80" s="557" t="s">
        <v>900</v>
      </c>
      <c r="E80" s="310">
        <v>7111</v>
      </c>
      <c r="F80" s="310"/>
      <c r="G80" s="310"/>
      <c r="H80" s="310" t="e">
        <f t="shared" si="1"/>
        <v>#DIV/0!</v>
      </c>
    </row>
    <row r="81" spans="1:8" ht="15" customHeight="1" x14ac:dyDescent="0.25">
      <c r="A81" s="296"/>
      <c r="B81" s="553"/>
      <c r="C81" s="364" t="s">
        <v>9</v>
      </c>
      <c r="D81" s="309" t="s">
        <v>539</v>
      </c>
      <c r="E81" s="310">
        <f>SUM(E82:E85)</f>
        <v>9535</v>
      </c>
      <c r="F81" s="310">
        <f>SUM(F82:F85)</f>
        <v>0</v>
      </c>
      <c r="G81" s="310">
        <f>SUM(G82:G85)</f>
        <v>0</v>
      </c>
      <c r="H81" s="310" t="e">
        <f t="shared" si="1"/>
        <v>#DIV/0!</v>
      </c>
    </row>
    <row r="82" spans="1:8" ht="15" customHeight="1" x14ac:dyDescent="0.25">
      <c r="A82" s="296"/>
      <c r="B82" s="553"/>
      <c r="C82" s="364" t="s">
        <v>507</v>
      </c>
      <c r="D82" s="557" t="s">
        <v>894</v>
      </c>
      <c r="E82" s="310">
        <v>4723</v>
      </c>
      <c r="F82" s="310"/>
      <c r="G82" s="310"/>
      <c r="H82" s="310" t="e">
        <f t="shared" si="1"/>
        <v>#DIV/0!</v>
      </c>
    </row>
    <row r="83" spans="1:8" ht="15" customHeight="1" x14ac:dyDescent="0.25">
      <c r="A83" s="296"/>
      <c r="B83" s="553"/>
      <c r="C83" s="364" t="s">
        <v>911</v>
      </c>
      <c r="D83" s="557" t="s">
        <v>896</v>
      </c>
      <c r="E83" s="310">
        <v>329</v>
      </c>
      <c r="F83" s="310"/>
      <c r="G83" s="310"/>
      <c r="H83" s="310" t="e">
        <f t="shared" si="1"/>
        <v>#DIV/0!</v>
      </c>
    </row>
    <row r="84" spans="1:8" ht="15" customHeight="1" x14ac:dyDescent="0.25">
      <c r="A84" s="296"/>
      <c r="B84" s="553"/>
      <c r="C84" s="364" t="s">
        <v>912</v>
      </c>
      <c r="D84" s="557" t="s">
        <v>898</v>
      </c>
      <c r="E84" s="310">
        <v>2612</v>
      </c>
      <c r="F84" s="310"/>
      <c r="G84" s="310"/>
      <c r="H84" s="310" t="e">
        <f t="shared" si="1"/>
        <v>#DIV/0!</v>
      </c>
    </row>
    <row r="85" spans="1:8" ht="15" customHeight="1" x14ac:dyDescent="0.25">
      <c r="A85" s="296"/>
      <c r="B85" s="553"/>
      <c r="C85" s="364" t="s">
        <v>913</v>
      </c>
      <c r="D85" s="557" t="s">
        <v>900</v>
      </c>
      <c r="E85" s="310">
        <v>1871</v>
      </c>
      <c r="F85" s="310"/>
      <c r="G85" s="310"/>
      <c r="H85" s="310" t="e">
        <f t="shared" si="1"/>
        <v>#DIV/0!</v>
      </c>
    </row>
    <row r="86" spans="1:8" ht="15" customHeight="1" x14ac:dyDescent="0.25">
      <c r="A86" s="296"/>
      <c r="B86" s="553"/>
      <c r="C86" s="364" t="s">
        <v>11</v>
      </c>
      <c r="D86" s="309" t="s">
        <v>203</v>
      </c>
      <c r="E86" s="310">
        <f>SUM(E87:E90)</f>
        <v>6442</v>
      </c>
      <c r="F86" s="310">
        <f>SUM(F87:F90)</f>
        <v>0</v>
      </c>
      <c r="G86" s="310">
        <f>SUM(G87:G90)</f>
        <v>0</v>
      </c>
      <c r="H86" s="310" t="e">
        <f t="shared" si="1"/>
        <v>#DIV/0!</v>
      </c>
    </row>
    <row r="87" spans="1:8" ht="15" customHeight="1" x14ac:dyDescent="0.25">
      <c r="A87" s="296"/>
      <c r="B87" s="553"/>
      <c r="C87" s="364" t="s">
        <v>509</v>
      </c>
      <c r="D87" s="557" t="s">
        <v>894</v>
      </c>
      <c r="E87" s="310">
        <v>4342</v>
      </c>
      <c r="F87" s="310"/>
      <c r="G87" s="310"/>
      <c r="H87" s="310" t="e">
        <f t="shared" si="1"/>
        <v>#DIV/0!</v>
      </c>
    </row>
    <row r="88" spans="1:8" ht="15" customHeight="1" x14ac:dyDescent="0.25">
      <c r="A88" s="296"/>
      <c r="B88" s="553"/>
      <c r="C88" s="364" t="s">
        <v>760</v>
      </c>
      <c r="D88" s="557" t="s">
        <v>896</v>
      </c>
      <c r="E88" s="310">
        <v>1958</v>
      </c>
      <c r="F88" s="310"/>
      <c r="G88" s="310"/>
      <c r="H88" s="310" t="e">
        <f t="shared" si="1"/>
        <v>#DIV/0!</v>
      </c>
    </row>
    <row r="89" spans="1:8" ht="15" customHeight="1" x14ac:dyDescent="0.25">
      <c r="A89" s="296"/>
      <c r="B89" s="553"/>
      <c r="C89" s="364" t="s">
        <v>761</v>
      </c>
      <c r="D89" s="557" t="s">
        <v>898</v>
      </c>
      <c r="E89" s="310">
        <v>55</v>
      </c>
      <c r="F89" s="310"/>
      <c r="G89" s="310"/>
      <c r="H89" s="310" t="e">
        <f t="shared" si="1"/>
        <v>#DIV/0!</v>
      </c>
    </row>
    <row r="90" spans="1:8" ht="15" customHeight="1" x14ac:dyDescent="0.25">
      <c r="A90" s="296"/>
      <c r="B90" s="553"/>
      <c r="C90" s="364" t="s">
        <v>914</v>
      </c>
      <c r="D90" s="557" t="s">
        <v>900</v>
      </c>
      <c r="E90" s="310">
        <v>87</v>
      </c>
      <c r="F90" s="310"/>
      <c r="G90" s="310"/>
      <c r="H90" s="310" t="e">
        <f t="shared" si="1"/>
        <v>#DIV/0!</v>
      </c>
    </row>
    <row r="91" spans="1:8" ht="15" customHeight="1" x14ac:dyDescent="0.25">
      <c r="A91" s="296"/>
      <c r="B91" s="553"/>
      <c r="C91" s="364" t="s">
        <v>13</v>
      </c>
      <c r="D91" s="309" t="s">
        <v>915</v>
      </c>
      <c r="E91" s="310"/>
      <c r="F91" s="310"/>
      <c r="G91" s="310"/>
      <c r="H91" s="310"/>
    </row>
    <row r="92" spans="1:8" ht="15" customHeight="1" x14ac:dyDescent="0.25">
      <c r="A92" s="296"/>
      <c r="B92" s="553"/>
      <c r="C92" s="364" t="s">
        <v>516</v>
      </c>
      <c r="D92" s="557" t="s">
        <v>898</v>
      </c>
      <c r="E92" s="310"/>
      <c r="F92" s="310"/>
      <c r="G92" s="310"/>
      <c r="H92" s="310"/>
    </row>
    <row r="93" spans="1:8" ht="15" customHeight="1" x14ac:dyDescent="0.25">
      <c r="A93" s="296"/>
      <c r="B93" s="553"/>
      <c r="C93" s="364" t="s">
        <v>916</v>
      </c>
      <c r="D93" s="557" t="s">
        <v>900</v>
      </c>
      <c r="E93" s="310"/>
      <c r="F93" s="310"/>
      <c r="G93" s="310"/>
      <c r="H93" s="310"/>
    </row>
    <row r="94" spans="1:8" ht="15" customHeight="1" x14ac:dyDescent="0.25">
      <c r="A94" s="296"/>
      <c r="B94" s="553"/>
      <c r="C94" s="364" t="s">
        <v>917</v>
      </c>
      <c r="D94" s="557" t="s">
        <v>896</v>
      </c>
      <c r="E94" s="310"/>
      <c r="F94" s="310"/>
      <c r="G94" s="310"/>
      <c r="H94" s="310"/>
    </row>
    <row r="95" spans="1:8" ht="15" customHeight="1" x14ac:dyDescent="0.25">
      <c r="A95" s="296"/>
      <c r="B95" s="553"/>
      <c r="C95" s="364" t="s">
        <v>15</v>
      </c>
      <c r="D95" s="309" t="s">
        <v>918</v>
      </c>
      <c r="E95" s="310"/>
      <c r="F95" s="310"/>
      <c r="G95" s="310"/>
      <c r="H95" s="310"/>
    </row>
    <row r="96" spans="1:8" ht="15" customHeight="1" x14ac:dyDescent="0.25">
      <c r="A96" s="296"/>
      <c r="B96" s="553"/>
      <c r="C96" s="364" t="s">
        <v>17</v>
      </c>
      <c r="D96" s="309" t="s">
        <v>919</v>
      </c>
      <c r="E96" s="310"/>
      <c r="F96" s="310"/>
      <c r="G96" s="310"/>
      <c r="H96" s="310"/>
    </row>
    <row r="97" spans="1:11" ht="15" customHeight="1" x14ac:dyDescent="0.25">
      <c r="A97" s="296"/>
      <c r="B97" s="553"/>
      <c r="C97" s="540" t="s">
        <v>19</v>
      </c>
      <c r="D97" s="309" t="s">
        <v>920</v>
      </c>
      <c r="E97" s="310"/>
      <c r="F97" s="310"/>
      <c r="G97" s="310"/>
      <c r="H97" s="310"/>
    </row>
    <row r="98" spans="1:11" ht="15" customHeight="1" x14ac:dyDescent="0.25">
      <c r="A98" s="296"/>
      <c r="B98" s="553"/>
      <c r="C98" s="364"/>
      <c r="D98" s="560" t="s">
        <v>921</v>
      </c>
      <c r="E98" s="559">
        <f>SUM(E76+E81+E86+E91+E95+E96+E97)</f>
        <v>52040</v>
      </c>
      <c r="F98" s="559">
        <f>SUM(F76+F81+F86+F91+F95+F96+F97)</f>
        <v>0</v>
      </c>
      <c r="G98" s="559">
        <f>SUM(G76+G81+G86+G91+G95+G96+G97)</f>
        <v>0</v>
      </c>
      <c r="H98" s="559" t="e">
        <f t="shared" si="1"/>
        <v>#DIV/0!</v>
      </c>
      <c r="K98" s="335"/>
    </row>
    <row r="99" spans="1:11" ht="15" customHeight="1" x14ac:dyDescent="0.25">
      <c r="A99" s="296"/>
      <c r="B99" s="548" t="s">
        <v>20</v>
      </c>
      <c r="C99" s="292"/>
      <c r="D99" s="561" t="s">
        <v>922</v>
      </c>
      <c r="E99" s="428">
        <v>16</v>
      </c>
      <c r="F99" s="428">
        <v>15</v>
      </c>
      <c r="G99" s="428">
        <v>15</v>
      </c>
      <c r="H99" s="428">
        <v>15</v>
      </c>
    </row>
  </sheetData>
  <sheetProtection selectLockedCells="1" selectUnlockedCells="1"/>
  <mergeCells count="3">
    <mergeCell ref="A1:C1"/>
    <mergeCell ref="D2:E2"/>
    <mergeCell ref="D51:E51"/>
  </mergeCells>
  <printOptions horizontalCentered="1"/>
  <pageMargins left="0" right="0" top="0.9055118110236221" bottom="0.39370078740157483" header="0.23622047244094491" footer="0.11811023622047245"/>
  <pageSetup paperSize="9" scale="94" firstPageNumber="81" orientation="portrait" useFirstPageNumber="1" r:id="rId1"/>
  <headerFooter alignWithMargins="0">
    <oddHeader>&amp;C&amp;"Times New Roman,Félkövér"&amp;14
Tájékoztató a Mikró Kistérségi Társulás intézményeinek adatairól 
Vecsés vonatkozásában&amp;R&amp;"Times New Roman,Normál"&amp;12 5.9.1. sz. melléklet
Ezer Ft</oddHeader>
    <oddFooter>&amp;C- &amp;P -</oddFooter>
  </headerFooter>
  <rowBreaks count="1" manualBreakCount="1">
    <brk id="5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topLeftCell="A25" zoomScaleNormal="130" workbookViewId="0">
      <selection activeCell="D38" sqref="D38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1.6640625" style="162" customWidth="1"/>
    <col min="4" max="4" width="19.1640625" style="162" customWidth="1"/>
    <col min="5" max="5" width="13.83203125" style="162" hidden="1" customWidth="1"/>
    <col min="6" max="6" width="12" style="162" hidden="1" customWidth="1"/>
    <col min="7" max="7" width="19.1640625" style="162" hidden="1" customWidth="1"/>
    <col min="8" max="16384" width="9.33203125" style="162"/>
  </cols>
  <sheetData>
    <row r="1" spans="1:7" s="536" customFormat="1" ht="15" customHeight="1" x14ac:dyDescent="0.2">
      <c r="A1" s="446"/>
      <c r="B1" s="447"/>
      <c r="C1" s="448"/>
      <c r="D1" s="1609" t="s">
        <v>872</v>
      </c>
      <c r="E1" s="1609"/>
      <c r="F1" s="1609"/>
      <c r="G1" s="1609"/>
    </row>
    <row r="2" spans="1:7" s="537" customFormat="1" ht="30" customHeight="1" x14ac:dyDescent="0.2">
      <c r="A2" s="1573" t="s">
        <v>796</v>
      </c>
      <c r="B2" s="1573"/>
      <c r="C2" s="163" t="s">
        <v>926</v>
      </c>
      <c r="D2" s="1615" t="s">
        <v>1481</v>
      </c>
      <c r="E2" s="469"/>
      <c r="F2" s="469"/>
      <c r="G2" s="469"/>
    </row>
    <row r="3" spans="1:7" s="537" customFormat="1" ht="30" customHeight="1" x14ac:dyDescent="0.2">
      <c r="A3" s="1573" t="s">
        <v>264</v>
      </c>
      <c r="B3" s="1573"/>
      <c r="C3" s="166" t="s">
        <v>927</v>
      </c>
      <c r="D3" s="1616"/>
      <c r="E3" s="450"/>
      <c r="F3" s="450"/>
      <c r="G3" s="450"/>
    </row>
    <row r="4" spans="1:7" s="537" customFormat="1" ht="15" customHeight="1" x14ac:dyDescent="0.25">
      <c r="A4" s="167"/>
      <c r="B4" s="167"/>
      <c r="C4" s="568"/>
      <c r="D4" s="1590" t="s">
        <v>1482</v>
      </c>
      <c r="E4" s="1590"/>
      <c r="F4" s="1590"/>
      <c r="G4" s="569" t="s">
        <v>196</v>
      </c>
    </row>
    <row r="5" spans="1:7" s="187" customFormat="1" ht="37.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538" customFormat="1" ht="15" customHeight="1" x14ac:dyDescent="0.2">
      <c r="A6" s="180">
        <v>1</v>
      </c>
      <c r="B6" s="474">
        <v>2</v>
      </c>
      <c r="C6" s="474">
        <v>3</v>
      </c>
      <c r="D6" s="475">
        <v>4</v>
      </c>
      <c r="E6" s="475">
        <v>5</v>
      </c>
      <c r="F6" s="475">
        <v>6</v>
      </c>
      <c r="G6" s="475">
        <v>7</v>
      </c>
    </row>
    <row r="7" spans="1:7" s="538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112">
        <f>SUM(D9:D16)</f>
        <v>4119</v>
      </c>
      <c r="E8" s="112">
        <f>SUM(E9:E16)</f>
        <v>0</v>
      </c>
      <c r="F8" s="112">
        <f>SUM(F9:F16)</f>
        <v>0</v>
      </c>
      <c r="G8" s="112" t="e">
        <f>F8/E8*100</f>
        <v>#DIV/0!</v>
      </c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>
        <v>0</v>
      </c>
      <c r="E9" s="257">
        <v>0</v>
      </c>
      <c r="F9" s="257">
        <v>0</v>
      </c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>
        <v>4119</v>
      </c>
      <c r="E10" s="255"/>
      <c r="F10" s="255"/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>
        <v>0</v>
      </c>
      <c r="E11" s="255">
        <v>0</v>
      </c>
      <c r="F11" s="255">
        <v>0</v>
      </c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>
        <v>0</v>
      </c>
      <c r="E12" s="255"/>
      <c r="F12" s="255"/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>
        <v>0</v>
      </c>
      <c r="E13" s="255">
        <v>0</v>
      </c>
      <c r="F13" s="255">
        <v>0</v>
      </c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>
        <v>0</v>
      </c>
      <c r="E14" s="256">
        <v>0</v>
      </c>
      <c r="F14" s="256"/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>
        <v>0</v>
      </c>
      <c r="E15" s="255">
        <v>0</v>
      </c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>
        <v>0</v>
      </c>
      <c r="E16" s="258"/>
      <c r="F16" s="258"/>
      <c r="G16" s="258"/>
    </row>
    <row r="17" spans="1:9" s="183" customFormat="1" ht="15" customHeight="1" x14ac:dyDescent="0.2">
      <c r="A17" s="180" t="s">
        <v>6</v>
      </c>
      <c r="B17" s="181"/>
      <c r="C17" s="222" t="s">
        <v>1963</v>
      </c>
      <c r="D17" s="254">
        <f>SUM(D18:D22)</f>
        <v>15092</v>
      </c>
      <c r="E17" s="254">
        <f>SUM(E18:E22)</f>
        <v>0</v>
      </c>
      <c r="F17" s="254">
        <f>SUM(F18:F22)</f>
        <v>0</v>
      </c>
      <c r="G17" s="254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1964</v>
      </c>
      <c r="D18" s="255">
        <f>SUM('5.10.1..sz mell.'!E16+'5.10.1..sz mell.'!E22+'5.10.1..sz mell.'!E170)</f>
        <v>12768</v>
      </c>
      <c r="E18" s="255">
        <f>SUM('5.10.1..sz mell.'!F16+'5.10.1..sz mell.'!F22+'5.10.1..sz mell.'!F170)</f>
        <v>0</v>
      </c>
      <c r="F18" s="255">
        <f>SUM('5.10.1..sz mell.'!G16+'5.10.1..sz mell.'!G22+'5.10.1..sz mell.'!G170)</f>
        <v>0</v>
      </c>
      <c r="G18" s="255" t="e">
        <f>F18/E18*100</f>
        <v>#DIV/0!</v>
      </c>
    </row>
    <row r="19" spans="1:9" s="187" customFormat="1" ht="15" customHeight="1" x14ac:dyDescent="0.2">
      <c r="A19" s="184"/>
      <c r="B19" s="185" t="s">
        <v>9</v>
      </c>
      <c r="C19" s="15" t="s">
        <v>1965</v>
      </c>
      <c r="D19" s="255">
        <v>0</v>
      </c>
      <c r="E19" s="255">
        <v>0</v>
      </c>
      <c r="F19" s="255">
        <v>0</v>
      </c>
      <c r="G19" s="255"/>
    </row>
    <row r="20" spans="1:9" s="187" customFormat="1" ht="15" customHeight="1" x14ac:dyDescent="0.2">
      <c r="A20" s="184"/>
      <c r="B20" s="185" t="s">
        <v>11</v>
      </c>
      <c r="C20" s="15" t="s">
        <v>802</v>
      </c>
      <c r="D20" s="255">
        <v>0</v>
      </c>
      <c r="E20" s="255">
        <v>0</v>
      </c>
      <c r="F20" s="255">
        <v>0</v>
      </c>
      <c r="G20" s="255"/>
    </row>
    <row r="21" spans="1:9" s="187" customFormat="1" ht="15" customHeight="1" x14ac:dyDescent="0.2">
      <c r="A21" s="184"/>
      <c r="B21" s="185" t="s">
        <v>13</v>
      </c>
      <c r="C21" s="15" t="s">
        <v>803</v>
      </c>
      <c r="D21" s="255">
        <v>2324</v>
      </c>
      <c r="E21" s="255">
        <f>'5.10.1..sz mell.'!F30</f>
        <v>0</v>
      </c>
      <c r="F21" s="255">
        <f>'5.10.1..sz mell.'!G30</f>
        <v>0</v>
      </c>
      <c r="G21" s="255" t="e">
        <f>F21/E21*100</f>
        <v>#DIV/0!</v>
      </c>
    </row>
    <row r="22" spans="1:9" s="187" customFormat="1" ht="15" customHeight="1" x14ac:dyDescent="0.2">
      <c r="A22" s="184"/>
      <c r="B22" s="185" t="s">
        <v>15</v>
      </c>
      <c r="C22" s="15" t="s">
        <v>1475</v>
      </c>
      <c r="D22" s="255">
        <v>0</v>
      </c>
      <c r="E22" s="255">
        <v>0</v>
      </c>
      <c r="F22" s="255"/>
      <c r="G22" s="255"/>
    </row>
    <row r="23" spans="1:9" s="187" customFormat="1" ht="15" customHeight="1" x14ac:dyDescent="0.2">
      <c r="A23" s="180" t="s">
        <v>20</v>
      </c>
      <c r="B23" s="12"/>
      <c r="C23" s="12" t="s">
        <v>804</v>
      </c>
      <c r="D23" s="220">
        <v>0</v>
      </c>
      <c r="E23" s="220">
        <v>0</v>
      </c>
      <c r="F23" s="220">
        <v>0</v>
      </c>
      <c r="G23" s="220"/>
    </row>
    <row r="24" spans="1:9" s="183" customFormat="1" ht="15" customHeight="1" x14ac:dyDescent="0.2">
      <c r="A24" s="180" t="s">
        <v>150</v>
      </c>
      <c r="B24" s="181"/>
      <c r="C24" s="12" t="s">
        <v>846</v>
      </c>
      <c r="D24" s="220">
        <v>0</v>
      </c>
      <c r="E24" s="220">
        <v>0</v>
      </c>
      <c r="F24" s="220">
        <v>0</v>
      </c>
      <c r="G24" s="220"/>
    </row>
    <row r="25" spans="1:9" s="183" customFormat="1" ht="15" customHeight="1" x14ac:dyDescent="0.2">
      <c r="A25" s="180" t="s">
        <v>39</v>
      </c>
      <c r="B25" s="209"/>
      <c r="C25" s="12" t="s">
        <v>847</v>
      </c>
      <c r="D25" s="266">
        <f>+D26+D27</f>
        <v>0</v>
      </c>
      <c r="E25" s="266">
        <f>+E26+E27</f>
        <v>0</v>
      </c>
      <c r="F25" s="266">
        <f>+F26+F27</f>
        <v>0</v>
      </c>
      <c r="G25" s="266"/>
    </row>
    <row r="26" spans="1:9" s="183" customFormat="1" ht="15" customHeight="1" x14ac:dyDescent="0.2">
      <c r="A26" s="192"/>
      <c r="B26" s="199" t="s">
        <v>40</v>
      </c>
      <c r="C26" s="19" t="s">
        <v>808</v>
      </c>
      <c r="D26" s="267">
        <v>0</v>
      </c>
      <c r="E26" s="267">
        <v>0</v>
      </c>
      <c r="F26" s="267">
        <v>0</v>
      </c>
      <c r="G26" s="267"/>
    </row>
    <row r="27" spans="1:9" s="183" customFormat="1" ht="15" customHeight="1" x14ac:dyDescent="0.2">
      <c r="A27" s="202"/>
      <c r="B27" s="203" t="s">
        <v>41</v>
      </c>
      <c r="C27" s="24" t="s">
        <v>809</v>
      </c>
      <c r="D27" s="261">
        <v>0</v>
      </c>
      <c r="E27" s="261">
        <v>0</v>
      </c>
      <c r="F27" s="261">
        <v>0</v>
      </c>
      <c r="G27" s="261"/>
    </row>
    <row r="28" spans="1:9" s="187" customFormat="1" ht="15" customHeight="1" x14ac:dyDescent="0.25">
      <c r="A28" s="212" t="s">
        <v>49</v>
      </c>
      <c r="B28" s="213"/>
      <c r="C28" s="12" t="s">
        <v>848</v>
      </c>
      <c r="D28" s="220">
        <v>26133</v>
      </c>
      <c r="E28" s="220"/>
      <c r="F28" s="220"/>
      <c r="G28" s="220" t="e">
        <f>F28/E28*100</f>
        <v>#DIV/0!</v>
      </c>
      <c r="I28" s="201">
        <f>SUM(D46-D30)</f>
        <v>0</v>
      </c>
    </row>
    <row r="29" spans="1:9" s="187" customFormat="1" ht="15" customHeight="1" x14ac:dyDescent="0.25">
      <c r="A29" s="212"/>
      <c r="B29" s="213"/>
      <c r="C29" s="12" t="s">
        <v>849</v>
      </c>
      <c r="D29" s="220"/>
      <c r="E29" s="220"/>
      <c r="F29" s="220"/>
      <c r="G29" s="220"/>
    </row>
    <row r="30" spans="1:9" s="187" customFormat="1" ht="15" customHeight="1" x14ac:dyDescent="0.2">
      <c r="A30" s="268" t="s">
        <v>179</v>
      </c>
      <c r="B30" s="269"/>
      <c r="C30" s="480" t="s">
        <v>850</v>
      </c>
      <c r="D30" s="270">
        <f>SUM(D8,D17,D23,D24,D25,D28)</f>
        <v>45344</v>
      </c>
      <c r="E30" s="270">
        <f>SUM(E8,E17,E23,E24,E25,E28,E29)</f>
        <v>0</v>
      </c>
      <c r="F30" s="270">
        <f>SUM(F8,F17,F23,F24,F25,F28,F29)</f>
        <v>0</v>
      </c>
      <c r="G30" s="270" t="e">
        <f>F30/E30*100</f>
        <v>#DIV/0!</v>
      </c>
      <c r="I30" s="201"/>
    </row>
    <row r="31" spans="1:9" s="187" customFormat="1" ht="15" customHeight="1" thickBot="1" x14ac:dyDescent="0.25">
      <c r="A31" s="462"/>
      <c r="B31" s="462"/>
      <c r="C31" s="481"/>
      <c r="D31" s="514"/>
      <c r="E31" s="514"/>
      <c r="F31" s="514"/>
      <c r="G31" s="514"/>
    </row>
    <row r="32" spans="1:9" s="538" customFormat="1" ht="15" customHeight="1" thickBot="1" x14ac:dyDescent="0.25">
      <c r="A32" s="268"/>
      <c r="B32" s="269"/>
      <c r="C32" s="513" t="s">
        <v>199</v>
      </c>
      <c r="D32" s="270"/>
      <c r="E32" s="270"/>
      <c r="F32" s="270"/>
      <c r="G32" s="270"/>
    </row>
    <row r="33" spans="1:7" s="183" customFormat="1" ht="15" customHeight="1" x14ac:dyDescent="0.2">
      <c r="A33" s="180" t="s">
        <v>5</v>
      </c>
      <c r="B33" s="12"/>
      <c r="C33" s="67" t="s">
        <v>102</v>
      </c>
      <c r="D33" s="254">
        <f>SUM(D34:D38)</f>
        <v>45344</v>
      </c>
      <c r="E33" s="254">
        <f>SUM(E34:E38)</f>
        <v>0</v>
      </c>
      <c r="F33" s="254">
        <f>SUM(F34:F38)</f>
        <v>0</v>
      </c>
      <c r="G33" s="254" t="e">
        <f>F33/E33*100</f>
        <v>#DIV/0!</v>
      </c>
    </row>
    <row r="34" spans="1:7" s="187" customFormat="1" ht="15" customHeight="1" x14ac:dyDescent="0.2">
      <c r="A34" s="204"/>
      <c r="B34" s="231" t="s">
        <v>103</v>
      </c>
      <c r="C34" s="27" t="s">
        <v>104</v>
      </c>
      <c r="D34" s="262">
        <v>17907</v>
      </c>
      <c r="E34" s="262"/>
      <c r="F34" s="262"/>
      <c r="G34" s="262" t="e">
        <f>F34/E34*100</f>
        <v>#DIV/0!</v>
      </c>
    </row>
    <row r="35" spans="1:7" s="187" customFormat="1" ht="15" customHeight="1" x14ac:dyDescent="0.2">
      <c r="A35" s="184"/>
      <c r="B35" s="200" t="s">
        <v>105</v>
      </c>
      <c r="C35" s="15" t="s">
        <v>106</v>
      </c>
      <c r="D35" s="255">
        <v>4749</v>
      </c>
      <c r="E35" s="255"/>
      <c r="F35" s="255"/>
      <c r="G35" s="255" t="e">
        <f>F35/E35*100</f>
        <v>#DIV/0!</v>
      </c>
    </row>
    <row r="36" spans="1:7" s="187" customFormat="1" ht="15" customHeight="1" x14ac:dyDescent="0.2">
      <c r="A36" s="184"/>
      <c r="B36" s="200" t="s">
        <v>107</v>
      </c>
      <c r="C36" s="15" t="s">
        <v>108</v>
      </c>
      <c r="D36" s="255">
        <v>16849</v>
      </c>
      <c r="E36" s="255"/>
      <c r="F36" s="255"/>
      <c r="G36" s="255" t="e">
        <f>F36/E36*100</f>
        <v>#DIV/0!</v>
      </c>
    </row>
    <row r="37" spans="1:7" s="187" customFormat="1" ht="15" customHeight="1" x14ac:dyDescent="0.2">
      <c r="A37" s="184"/>
      <c r="B37" s="200" t="s">
        <v>109</v>
      </c>
      <c r="C37" s="15" t="s">
        <v>110</v>
      </c>
      <c r="D37" s="255"/>
      <c r="E37" s="255"/>
      <c r="F37" s="255"/>
      <c r="G37" s="255"/>
    </row>
    <row r="38" spans="1:7" s="187" customFormat="1" ht="15" customHeight="1" x14ac:dyDescent="0.2">
      <c r="A38" s="184"/>
      <c r="B38" s="200" t="s">
        <v>111</v>
      </c>
      <c r="C38" s="15" t="s">
        <v>112</v>
      </c>
      <c r="D38" s="255">
        <v>5839</v>
      </c>
      <c r="E38" s="255">
        <f>'5.10.1..sz mell.'!F124+'5.10.1..sz mell.'!F157</f>
        <v>0</v>
      </c>
      <c r="F38" s="255">
        <f>'5.10.1..sz mell.'!G124+'5.10.1..sz mell.'!G157</f>
        <v>0</v>
      </c>
      <c r="G38" s="255" t="e">
        <f>F38/E38*100</f>
        <v>#DIV/0!</v>
      </c>
    </row>
    <row r="39" spans="1:7" s="187" customFormat="1" ht="15" customHeight="1" x14ac:dyDescent="0.2">
      <c r="A39" s="180" t="s">
        <v>6</v>
      </c>
      <c r="B39" s="12"/>
      <c r="C39" s="67" t="s">
        <v>823</v>
      </c>
      <c r="D39" s="254">
        <f>SUM(D40:D43)</f>
        <v>0</v>
      </c>
      <c r="E39" s="254">
        <f>SUM(E40:E43)</f>
        <v>0</v>
      </c>
      <c r="F39" s="254">
        <f>SUM(F40:F43)</f>
        <v>0</v>
      </c>
      <c r="G39" s="254"/>
    </row>
    <row r="40" spans="1:7" s="183" customFormat="1" ht="15" customHeight="1" x14ac:dyDescent="0.2">
      <c r="A40" s="204"/>
      <c r="B40" s="231" t="s">
        <v>7</v>
      </c>
      <c r="C40" s="27" t="s">
        <v>816</v>
      </c>
      <c r="D40" s="262">
        <v>0</v>
      </c>
      <c r="E40" s="262">
        <v>0</v>
      </c>
      <c r="F40" s="262">
        <v>0</v>
      </c>
      <c r="G40" s="262"/>
    </row>
    <row r="41" spans="1:7" s="187" customFormat="1" ht="15" customHeight="1" x14ac:dyDescent="0.2">
      <c r="A41" s="184"/>
      <c r="B41" s="200" t="s">
        <v>9</v>
      </c>
      <c r="C41" s="15" t="s">
        <v>135</v>
      </c>
      <c r="D41" s="255">
        <v>0</v>
      </c>
      <c r="E41" s="255">
        <v>0</v>
      </c>
      <c r="F41" s="255">
        <v>0</v>
      </c>
      <c r="G41" s="255"/>
    </row>
    <row r="42" spans="1:7" s="187" customFormat="1" ht="30" customHeight="1" x14ac:dyDescent="0.2">
      <c r="A42" s="184"/>
      <c r="B42" s="200" t="s">
        <v>15</v>
      </c>
      <c r="C42" s="15" t="s">
        <v>138</v>
      </c>
      <c r="D42" s="255">
        <v>0</v>
      </c>
      <c r="E42" s="255">
        <v>0</v>
      </c>
      <c r="F42" s="255">
        <v>0</v>
      </c>
      <c r="G42" s="255"/>
    </row>
    <row r="43" spans="1:7" s="187" customFormat="1" ht="15" customHeight="1" x14ac:dyDescent="0.2">
      <c r="A43" s="184"/>
      <c r="B43" s="200" t="s">
        <v>19</v>
      </c>
      <c r="C43" s="15" t="s">
        <v>817</v>
      </c>
      <c r="D43" s="255">
        <v>0</v>
      </c>
      <c r="E43" s="255">
        <v>0</v>
      </c>
      <c r="F43" s="255">
        <v>0</v>
      </c>
      <c r="G43" s="255"/>
    </row>
    <row r="44" spans="1:7" s="187" customFormat="1" ht="15" customHeight="1" x14ac:dyDescent="0.2">
      <c r="A44" s="180" t="s">
        <v>20</v>
      </c>
      <c r="B44" s="12"/>
      <c r="C44" s="67" t="s">
        <v>818</v>
      </c>
      <c r="D44" s="220">
        <v>0</v>
      </c>
      <c r="E44" s="220">
        <v>0</v>
      </c>
      <c r="F44" s="220">
        <v>0</v>
      </c>
      <c r="G44" s="220"/>
    </row>
    <row r="45" spans="1:7" s="187" customFormat="1" ht="15" customHeight="1" x14ac:dyDescent="0.2">
      <c r="A45" s="180"/>
      <c r="B45" s="12"/>
      <c r="C45" s="67" t="s">
        <v>819</v>
      </c>
      <c r="D45" s="220"/>
      <c r="E45" s="220"/>
      <c r="F45" s="220"/>
      <c r="G45" s="220"/>
    </row>
    <row r="46" spans="1:7" s="187" customFormat="1" ht="15" customHeight="1" x14ac:dyDescent="0.2">
      <c r="A46" s="268" t="s">
        <v>150</v>
      </c>
      <c r="B46" s="269"/>
      <c r="C46" s="480" t="s">
        <v>820</v>
      </c>
      <c r="D46" s="270">
        <f>+D33+D39+D44</f>
        <v>45344</v>
      </c>
      <c r="E46" s="270">
        <f>+E33+E39+E44+E45</f>
        <v>0</v>
      </c>
      <c r="F46" s="270">
        <f>+F33+F39+F44+F45</f>
        <v>0</v>
      </c>
      <c r="G46" s="270" t="e">
        <f>F46/E46*100</f>
        <v>#DIV/0!</v>
      </c>
    </row>
    <row r="47" spans="1:7" s="187" customFormat="1" ht="15" customHeight="1" x14ac:dyDescent="0.2">
      <c r="A47" s="242"/>
      <c r="B47" s="243"/>
      <c r="C47" s="243"/>
      <c r="D47" s="243"/>
      <c r="E47" s="243"/>
      <c r="F47" s="243"/>
      <c r="G47" s="243"/>
    </row>
    <row r="48" spans="1:7" s="187" customFormat="1" ht="15" customHeight="1" x14ac:dyDescent="0.2">
      <c r="A48" s="244" t="s">
        <v>297</v>
      </c>
      <c r="B48" s="245"/>
      <c r="C48" s="246"/>
      <c r="D48" s="247">
        <v>10.5</v>
      </c>
      <c r="E48" s="247"/>
      <c r="F48" s="247"/>
      <c r="G48" s="247"/>
    </row>
    <row r="49" spans="1:7" s="187" customFormat="1" ht="15" customHeight="1" x14ac:dyDescent="0.2">
      <c r="A49" s="244" t="s">
        <v>298</v>
      </c>
      <c r="B49" s="245"/>
      <c r="C49" s="246"/>
      <c r="D49" s="482"/>
      <c r="E49" s="482"/>
      <c r="F49" s="482"/>
      <c r="G49" s="482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19685039370078741" right="0.23622047244094491" top="0.19685039370078741" bottom="0.35433070866141736" header="0.39370078740157483" footer="0.15748031496062992"/>
  <pageSetup paperSize="9" firstPageNumber="83" orientation="portrait" useFirstPageNumber="1" r:id="rId1"/>
  <headerFooter alignWithMargins="0">
    <oddFooter>&amp;C&amp;11-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1"/>
  <sheetViews>
    <sheetView view="pageBreakPreview" topLeftCell="A164" zoomScale="130" zoomScaleSheetLayoutView="130" workbookViewId="0">
      <selection activeCell="E181" sqref="E181"/>
    </sheetView>
  </sheetViews>
  <sheetFormatPr defaultRowHeight="14.25" x14ac:dyDescent="0.2"/>
  <cols>
    <col min="1" max="1" width="2.5" style="286" customWidth="1"/>
    <col min="2" max="2" width="3" style="286" customWidth="1"/>
    <col min="3" max="3" width="10.33203125" style="540" customWidth="1"/>
    <col min="4" max="4" width="47.33203125" style="286" customWidth="1"/>
    <col min="5" max="5" width="13.83203125" style="335" customWidth="1"/>
    <col min="6" max="6" width="13.83203125" style="335" hidden="1" customWidth="1"/>
    <col min="7" max="7" width="13.33203125" style="335" hidden="1" customWidth="1"/>
    <col min="8" max="8" width="8.6640625" style="335" hidden="1" customWidth="1"/>
    <col min="9" max="9" width="9.33203125" style="286"/>
    <col min="10" max="10" width="2.33203125" style="286" customWidth="1"/>
    <col min="11" max="11" width="10" style="286" customWidth="1"/>
    <col min="12" max="12" width="53.6640625" style="286" customWidth="1"/>
    <col min="13" max="16384" width="9.33203125" style="286"/>
  </cols>
  <sheetData>
    <row r="1" spans="1:8" ht="46.5" customHeight="1" x14ac:dyDescent="0.2">
      <c r="A1" s="1603" t="s">
        <v>326</v>
      </c>
      <c r="B1" s="1603"/>
      <c r="C1" s="1603"/>
      <c r="D1" s="288" t="s">
        <v>883</v>
      </c>
      <c r="E1" s="570" t="s">
        <v>1480</v>
      </c>
      <c r="F1" s="570" t="s">
        <v>1432</v>
      </c>
      <c r="G1" s="570" t="s">
        <v>1434</v>
      </c>
      <c r="H1" s="570" t="s">
        <v>3</v>
      </c>
    </row>
    <row r="2" spans="1:8" ht="18" customHeight="1" x14ac:dyDescent="0.25">
      <c r="A2" s="542"/>
      <c r="B2" s="543"/>
      <c r="C2" s="571"/>
      <c r="D2" s="1619" t="s">
        <v>926</v>
      </c>
      <c r="E2" s="1619"/>
      <c r="F2" s="1619"/>
      <c r="G2" s="1619"/>
      <c r="H2" s="1619"/>
    </row>
    <row r="3" spans="1:8" ht="16.5" x14ac:dyDescent="0.25">
      <c r="A3" s="572"/>
      <c r="B3" s="573"/>
      <c r="C3" s="574"/>
      <c r="D3" s="1620" t="s">
        <v>928</v>
      </c>
      <c r="E3" s="1620"/>
      <c r="F3" s="575"/>
      <c r="G3" s="575"/>
      <c r="H3" s="575"/>
    </row>
    <row r="4" spans="1:8" ht="16.5" x14ac:dyDescent="0.25">
      <c r="A4" s="296"/>
      <c r="B4" s="548" t="s">
        <v>5</v>
      </c>
      <c r="C4" s="364"/>
      <c r="D4" s="551" t="s">
        <v>198</v>
      </c>
      <c r="E4" s="567"/>
      <c r="F4" s="567"/>
      <c r="G4" s="567"/>
      <c r="H4" s="567"/>
    </row>
    <row r="5" spans="1:8" ht="16.5" x14ac:dyDescent="0.25">
      <c r="A5" s="296"/>
      <c r="B5" s="553"/>
      <c r="C5" s="291" t="s">
        <v>103</v>
      </c>
      <c r="D5" s="309" t="s">
        <v>887</v>
      </c>
      <c r="E5" s="310">
        <f>SUM(E11:E12)</f>
        <v>1027</v>
      </c>
      <c r="F5" s="310"/>
      <c r="G5" s="310"/>
      <c r="H5" s="310" t="e">
        <f>G5/F5*100</f>
        <v>#DIV/0!</v>
      </c>
    </row>
    <row r="6" spans="1:8" ht="16.5" hidden="1" x14ac:dyDescent="0.25">
      <c r="A6" s="296"/>
      <c r="B6" s="553"/>
      <c r="C6" s="363" t="s">
        <v>186</v>
      </c>
      <c r="D6" s="309" t="s">
        <v>887</v>
      </c>
      <c r="E6" s="310"/>
      <c r="F6" s="310"/>
      <c r="G6" s="310"/>
      <c r="H6" s="310" t="e">
        <f t="shared" ref="H6:H72" si="0">G6/F6*100</f>
        <v>#DIV/0!</v>
      </c>
    </row>
    <row r="7" spans="1:8" ht="16.5" hidden="1" x14ac:dyDescent="0.25">
      <c r="A7" s="296"/>
      <c r="B7" s="553"/>
      <c r="C7" s="363" t="s">
        <v>930</v>
      </c>
      <c r="D7" s="309" t="s">
        <v>887</v>
      </c>
      <c r="E7" s="310"/>
      <c r="F7" s="310"/>
      <c r="G7" s="310"/>
      <c r="H7" s="310" t="e">
        <f t="shared" si="0"/>
        <v>#DIV/0!</v>
      </c>
    </row>
    <row r="8" spans="1:8" ht="16.5" hidden="1" x14ac:dyDescent="0.25">
      <c r="A8" s="296"/>
      <c r="B8" s="553"/>
      <c r="C8" s="363" t="s">
        <v>932</v>
      </c>
      <c r="D8" s="309" t="s">
        <v>887</v>
      </c>
      <c r="E8" s="310"/>
      <c r="F8" s="310"/>
      <c r="G8" s="310"/>
      <c r="H8" s="310" t="e">
        <f t="shared" si="0"/>
        <v>#DIV/0!</v>
      </c>
    </row>
    <row r="9" spans="1:8" ht="16.5" hidden="1" x14ac:dyDescent="0.25">
      <c r="A9" s="296"/>
      <c r="B9" s="553"/>
      <c r="C9" s="363" t="s">
        <v>933</v>
      </c>
      <c r="D9" s="309" t="s">
        <v>887</v>
      </c>
      <c r="E9" s="310"/>
      <c r="F9" s="310"/>
      <c r="G9" s="310"/>
      <c r="H9" s="310" t="e">
        <f t="shared" si="0"/>
        <v>#DIV/0!</v>
      </c>
    </row>
    <row r="10" spans="1:8" ht="16.5" hidden="1" x14ac:dyDescent="0.25">
      <c r="A10" s="296"/>
      <c r="B10" s="553"/>
      <c r="C10" s="363" t="s">
        <v>935</v>
      </c>
      <c r="D10" s="309" t="s">
        <v>887</v>
      </c>
      <c r="E10" s="310"/>
      <c r="F10" s="310"/>
      <c r="G10" s="310"/>
      <c r="H10" s="310" t="e">
        <f t="shared" si="0"/>
        <v>#DIV/0!</v>
      </c>
    </row>
    <row r="11" spans="1:8" ht="16.5" x14ac:dyDescent="0.25">
      <c r="A11" s="296"/>
      <c r="B11" s="553"/>
      <c r="C11" s="363"/>
      <c r="D11" s="309" t="s">
        <v>1615</v>
      </c>
      <c r="E11" s="310">
        <v>925</v>
      </c>
      <c r="F11" s="310"/>
      <c r="G11" s="310"/>
      <c r="H11" s="310"/>
    </row>
    <row r="12" spans="1:8" ht="16.5" x14ac:dyDescent="0.25">
      <c r="A12" s="296"/>
      <c r="B12" s="553"/>
      <c r="C12" s="363"/>
      <c r="D12" s="309" t="s">
        <v>1616</v>
      </c>
      <c r="E12" s="310">
        <v>102</v>
      </c>
      <c r="F12" s="310"/>
      <c r="G12" s="310"/>
      <c r="H12" s="310"/>
    </row>
    <row r="13" spans="1:8" ht="16.5" x14ac:dyDescent="0.25">
      <c r="A13" s="296"/>
      <c r="B13" s="553"/>
      <c r="C13" s="291" t="s">
        <v>105</v>
      </c>
      <c r="D13" s="309" t="s">
        <v>937</v>
      </c>
      <c r="E13" s="310"/>
      <c r="F13" s="310"/>
      <c r="G13" s="310"/>
      <c r="H13" s="310"/>
    </row>
    <row r="14" spans="1:8" ht="16.5" x14ac:dyDescent="0.25">
      <c r="A14" s="296"/>
      <c r="B14" s="553"/>
      <c r="C14" s="291" t="s">
        <v>107</v>
      </c>
      <c r="D14" s="309" t="s">
        <v>889</v>
      </c>
      <c r="E14" s="310">
        <f>SUM(E15+E29)</f>
        <v>21042</v>
      </c>
      <c r="F14" s="310">
        <f>SUM(F15+F29)</f>
        <v>0</v>
      </c>
      <c r="G14" s="310">
        <f>SUM(G15+G29)</f>
        <v>0</v>
      </c>
      <c r="H14" s="310" t="e">
        <f t="shared" si="0"/>
        <v>#DIV/0!</v>
      </c>
    </row>
    <row r="15" spans="1:8" ht="16.5" x14ac:dyDescent="0.25">
      <c r="A15" s="554"/>
      <c r="B15" s="555"/>
      <c r="C15" s="316" t="s">
        <v>397</v>
      </c>
      <c r="D15" s="313" t="s">
        <v>890</v>
      </c>
      <c r="E15" s="314">
        <f>SUM(E16+E22+E27)</f>
        <v>21042</v>
      </c>
      <c r="F15" s="314">
        <f>SUM(F16+F22+F27)</f>
        <v>0</v>
      </c>
      <c r="G15" s="314">
        <f>SUM(G16+G22+G27)</f>
        <v>0</v>
      </c>
      <c r="H15" s="314" t="e">
        <f t="shared" si="0"/>
        <v>#DIV/0!</v>
      </c>
    </row>
    <row r="16" spans="1:8" ht="16.5" x14ac:dyDescent="0.25">
      <c r="A16" s="296"/>
      <c r="B16" s="553"/>
      <c r="C16" s="363" t="s">
        <v>891</v>
      </c>
      <c r="D16" s="309" t="s">
        <v>1513</v>
      </c>
      <c r="E16" s="310">
        <f>SUM(E17:E21)</f>
        <v>8339</v>
      </c>
      <c r="F16" s="310">
        <f>SUM(F17:F20)</f>
        <v>0</v>
      </c>
      <c r="G16" s="310">
        <f>SUM(G17:G20)</f>
        <v>0</v>
      </c>
      <c r="H16" s="310" t="e">
        <f t="shared" si="0"/>
        <v>#DIV/0!</v>
      </c>
    </row>
    <row r="17" spans="1:11" ht="16.5" x14ac:dyDescent="0.25">
      <c r="A17" s="296"/>
      <c r="B17" s="553"/>
      <c r="C17" s="363" t="s">
        <v>893</v>
      </c>
      <c r="D17" s="557" t="s">
        <v>894</v>
      </c>
      <c r="E17" s="310">
        <v>4905</v>
      </c>
      <c r="F17" s="310"/>
      <c r="G17" s="310"/>
      <c r="H17" s="310" t="e">
        <f t="shared" si="0"/>
        <v>#DIV/0!</v>
      </c>
    </row>
    <row r="18" spans="1:11" ht="16.5" x14ac:dyDescent="0.25">
      <c r="A18" s="296"/>
      <c r="B18" s="553"/>
      <c r="C18" s="363" t="s">
        <v>895</v>
      </c>
      <c r="D18" s="557" t="s">
        <v>898</v>
      </c>
      <c r="E18" s="310">
        <v>2943</v>
      </c>
      <c r="F18" s="310"/>
      <c r="G18" s="310"/>
      <c r="H18" s="310" t="e">
        <f t="shared" si="0"/>
        <v>#DIV/0!</v>
      </c>
    </row>
    <row r="19" spans="1:11" ht="16.5" x14ac:dyDescent="0.25">
      <c r="A19" s="296"/>
      <c r="B19" s="553"/>
      <c r="C19" s="363" t="s">
        <v>897</v>
      </c>
      <c r="D19" s="557" t="s">
        <v>938</v>
      </c>
      <c r="E19" s="310">
        <v>163</v>
      </c>
      <c r="F19" s="310"/>
      <c r="G19" s="310"/>
      <c r="H19" s="310" t="e">
        <f t="shared" si="0"/>
        <v>#DIV/0!</v>
      </c>
    </row>
    <row r="20" spans="1:11" ht="16.5" x14ac:dyDescent="0.25">
      <c r="A20" s="296"/>
      <c r="B20" s="553"/>
      <c r="C20" s="363" t="s">
        <v>899</v>
      </c>
      <c r="D20" s="557" t="s">
        <v>900</v>
      </c>
      <c r="E20" s="310">
        <v>164</v>
      </c>
      <c r="F20" s="310"/>
      <c r="G20" s="310"/>
      <c r="H20" s="310"/>
    </row>
    <row r="21" spans="1:11" ht="16.5" x14ac:dyDescent="0.25">
      <c r="A21" s="296"/>
      <c r="B21" s="553"/>
      <c r="C21" s="363" t="s">
        <v>1512</v>
      </c>
      <c r="D21" s="557" t="s">
        <v>1511</v>
      </c>
      <c r="E21" s="310">
        <v>164</v>
      </c>
      <c r="F21" s="310"/>
      <c r="G21" s="310"/>
      <c r="H21" s="310"/>
    </row>
    <row r="22" spans="1:11" ht="16.5" hidden="1" x14ac:dyDescent="0.25">
      <c r="A22" s="296"/>
      <c r="B22" s="553"/>
      <c r="C22" s="363" t="s">
        <v>901</v>
      </c>
      <c r="D22" s="556" t="s">
        <v>902</v>
      </c>
      <c r="E22" s="310">
        <f>SUM(E23:E26)</f>
        <v>0</v>
      </c>
      <c r="F22" s="310">
        <f>SUM(F23:F26)</f>
        <v>0</v>
      </c>
      <c r="G22" s="310">
        <f>SUM(G23:G26)</f>
        <v>0</v>
      </c>
      <c r="H22" s="310" t="e">
        <f t="shared" si="0"/>
        <v>#DIV/0!</v>
      </c>
    </row>
    <row r="23" spans="1:11" ht="16.5" hidden="1" x14ac:dyDescent="0.25">
      <c r="A23" s="296"/>
      <c r="B23" s="553"/>
      <c r="C23" s="363" t="s">
        <v>903</v>
      </c>
      <c r="D23" s="557" t="s">
        <v>894</v>
      </c>
      <c r="E23" s="310"/>
      <c r="F23" s="310"/>
      <c r="G23" s="310"/>
      <c r="H23" s="310" t="e">
        <f t="shared" si="0"/>
        <v>#DIV/0!</v>
      </c>
    </row>
    <row r="24" spans="1:11" ht="16.5" hidden="1" x14ac:dyDescent="0.25">
      <c r="A24" s="296"/>
      <c r="B24" s="553"/>
      <c r="C24" s="363" t="s">
        <v>904</v>
      </c>
      <c r="D24" s="557" t="s">
        <v>898</v>
      </c>
      <c r="E24" s="310"/>
      <c r="F24" s="310"/>
      <c r="G24" s="310"/>
      <c r="H24" s="310" t="e">
        <f t="shared" si="0"/>
        <v>#DIV/0!</v>
      </c>
    </row>
    <row r="25" spans="1:11" ht="16.5" hidden="1" x14ac:dyDescent="0.25">
      <c r="A25" s="296"/>
      <c r="B25" s="553"/>
      <c r="C25" s="363" t="s">
        <v>905</v>
      </c>
      <c r="D25" s="557" t="s">
        <v>938</v>
      </c>
      <c r="E25" s="310"/>
      <c r="F25" s="310"/>
      <c r="G25" s="310"/>
      <c r="H25" s="310" t="e">
        <f t="shared" si="0"/>
        <v>#DIV/0!</v>
      </c>
    </row>
    <row r="26" spans="1:11" ht="16.5" hidden="1" x14ac:dyDescent="0.25">
      <c r="A26" s="296"/>
      <c r="B26" s="553"/>
      <c r="C26" s="363" t="s">
        <v>906</v>
      </c>
      <c r="D26" s="557" t="s">
        <v>900</v>
      </c>
      <c r="E26" s="310"/>
      <c r="F26" s="310"/>
      <c r="G26" s="310"/>
      <c r="H26" s="310"/>
    </row>
    <row r="27" spans="1:11" ht="16.5" x14ac:dyDescent="0.25">
      <c r="A27" s="296"/>
      <c r="B27" s="553"/>
      <c r="C27" s="363" t="s">
        <v>907</v>
      </c>
      <c r="D27" s="556" t="s">
        <v>908</v>
      </c>
      <c r="E27" s="310">
        <f>SUM(E28:E28)</f>
        <v>12703</v>
      </c>
      <c r="F27" s="310">
        <f>SUM(F28:F28)</f>
        <v>0</v>
      </c>
      <c r="G27" s="310">
        <f>SUM(G28:G28)</f>
        <v>0</v>
      </c>
      <c r="H27" s="310" t="e">
        <f t="shared" si="0"/>
        <v>#DIV/0!</v>
      </c>
    </row>
    <row r="28" spans="1:11" ht="16.5" x14ac:dyDescent="0.25">
      <c r="A28" s="296"/>
      <c r="B28" s="553"/>
      <c r="C28" s="363" t="s">
        <v>909</v>
      </c>
      <c r="D28" s="557" t="s">
        <v>894</v>
      </c>
      <c r="E28" s="368">
        <v>12703</v>
      </c>
      <c r="F28" s="310"/>
      <c r="G28" s="310"/>
      <c r="H28" s="310" t="e">
        <f t="shared" si="0"/>
        <v>#DIV/0!</v>
      </c>
      <c r="K28" s="335">
        <f>SUM(E49-E35)</f>
        <v>0</v>
      </c>
    </row>
    <row r="29" spans="1:11" ht="16.5" x14ac:dyDescent="0.25">
      <c r="A29" s="554"/>
      <c r="B29" s="555"/>
      <c r="C29" s="316" t="s">
        <v>552</v>
      </c>
      <c r="D29" s="313" t="s">
        <v>924</v>
      </c>
      <c r="E29" s="314"/>
      <c r="F29" s="314"/>
      <c r="G29" s="314"/>
      <c r="H29" s="314"/>
    </row>
    <row r="30" spans="1:11" ht="16.5" x14ac:dyDescent="0.25">
      <c r="A30" s="296"/>
      <c r="B30" s="553"/>
      <c r="C30" s="291" t="s">
        <v>939</v>
      </c>
      <c r="D30" s="309" t="s">
        <v>442</v>
      </c>
      <c r="E30" s="310">
        <f>SUM(E31)</f>
        <v>2324</v>
      </c>
      <c r="F30" s="310">
        <f>SUM(F31)</f>
        <v>0</v>
      </c>
      <c r="G30" s="310">
        <f>SUM(G31)</f>
        <v>0</v>
      </c>
      <c r="H30" s="310" t="e">
        <f t="shared" si="0"/>
        <v>#DIV/0!</v>
      </c>
    </row>
    <row r="31" spans="1:11" ht="16.5" x14ac:dyDescent="0.25">
      <c r="A31" s="296"/>
      <c r="B31" s="553"/>
      <c r="C31" s="363" t="s">
        <v>437</v>
      </c>
      <c r="D31" s="557" t="s">
        <v>898</v>
      </c>
      <c r="E31" s="310">
        <v>2324</v>
      </c>
      <c r="F31" s="310"/>
      <c r="G31" s="310"/>
      <c r="H31" s="310" t="e">
        <f t="shared" si="0"/>
        <v>#DIV/0!</v>
      </c>
    </row>
    <row r="32" spans="1:11" ht="16.5" hidden="1" x14ac:dyDescent="0.25">
      <c r="A32" s="296"/>
      <c r="B32" s="553"/>
      <c r="C32" s="363"/>
      <c r="D32" s="557"/>
      <c r="E32" s="310"/>
      <c r="F32" s="310"/>
      <c r="G32" s="310"/>
      <c r="H32" s="310" t="e">
        <f t="shared" si="0"/>
        <v>#DIV/0!</v>
      </c>
    </row>
    <row r="33" spans="1:8" ht="16.5" hidden="1" x14ac:dyDescent="0.25">
      <c r="A33" s="296"/>
      <c r="B33" s="553"/>
      <c r="C33" s="363"/>
      <c r="D33" s="309"/>
      <c r="E33" s="310"/>
      <c r="F33" s="310"/>
      <c r="G33" s="310"/>
      <c r="H33" s="310" t="e">
        <f t="shared" si="0"/>
        <v>#DIV/0!</v>
      </c>
    </row>
    <row r="34" spans="1:8" hidden="1" x14ac:dyDescent="0.2">
      <c r="H34" s="335" t="e">
        <f t="shared" si="0"/>
        <v>#DIV/0!</v>
      </c>
    </row>
    <row r="35" spans="1:8" ht="16.5" x14ac:dyDescent="0.25">
      <c r="A35" s="296"/>
      <c r="B35" s="553"/>
      <c r="C35" s="363"/>
      <c r="D35" s="558" t="s">
        <v>910</v>
      </c>
      <c r="E35" s="559">
        <f>SUM(E5+E14+E13+E30+E29)</f>
        <v>24393</v>
      </c>
      <c r="F35" s="559">
        <f>SUM(F5+F14+F13+F30+F29)</f>
        <v>0</v>
      </c>
      <c r="G35" s="559">
        <f>SUM(G5+G14+G13+G30+G29)</f>
        <v>0</v>
      </c>
      <c r="H35" s="559" t="e">
        <f t="shared" si="0"/>
        <v>#DIV/0!</v>
      </c>
    </row>
    <row r="36" spans="1:8" ht="16.5" x14ac:dyDescent="0.25">
      <c r="A36" s="296"/>
      <c r="B36" s="548" t="s">
        <v>6</v>
      </c>
      <c r="C36" s="364"/>
      <c r="D36" s="551" t="s">
        <v>199</v>
      </c>
      <c r="E36" s="567"/>
      <c r="F36" s="567"/>
      <c r="G36" s="567"/>
      <c r="H36" s="567"/>
    </row>
    <row r="37" spans="1:8" ht="16.5" x14ac:dyDescent="0.25">
      <c r="A37" s="296"/>
      <c r="B37" s="553"/>
      <c r="C37" s="364" t="s">
        <v>7</v>
      </c>
      <c r="D37" s="309" t="s">
        <v>538</v>
      </c>
      <c r="E37" s="310">
        <f>SUM(E38:E39)</f>
        <v>13360</v>
      </c>
      <c r="F37" s="310">
        <f>SUM(F38:F39)</f>
        <v>0</v>
      </c>
      <c r="G37" s="310">
        <f>SUM(G38:G39)</f>
        <v>0</v>
      </c>
      <c r="H37" s="310" t="e">
        <f t="shared" si="0"/>
        <v>#DIV/0!</v>
      </c>
    </row>
    <row r="38" spans="1:8" ht="16.5" x14ac:dyDescent="0.25">
      <c r="A38" s="296"/>
      <c r="B38" s="553"/>
      <c r="C38" s="364" t="s">
        <v>477</v>
      </c>
      <c r="D38" s="557" t="s">
        <v>894</v>
      </c>
      <c r="E38" s="310">
        <v>9123</v>
      </c>
      <c r="F38" s="310"/>
      <c r="G38" s="310"/>
      <c r="H38" s="310" t="e">
        <f t="shared" si="0"/>
        <v>#DIV/0!</v>
      </c>
    </row>
    <row r="39" spans="1:8" ht="16.5" x14ac:dyDescent="0.25">
      <c r="A39" s="296"/>
      <c r="B39" s="553"/>
      <c r="C39" s="364" t="s">
        <v>503</v>
      </c>
      <c r="D39" s="557" t="s">
        <v>898</v>
      </c>
      <c r="E39" s="310">
        <v>4237</v>
      </c>
      <c r="F39" s="310"/>
      <c r="G39" s="310"/>
      <c r="H39" s="310" t="e">
        <f t="shared" si="0"/>
        <v>#DIV/0!</v>
      </c>
    </row>
    <row r="40" spans="1:8" ht="16.5" x14ac:dyDescent="0.25">
      <c r="A40" s="296"/>
      <c r="B40" s="553"/>
      <c r="C40" s="364" t="s">
        <v>9</v>
      </c>
      <c r="D40" s="309" t="s">
        <v>539</v>
      </c>
      <c r="E40" s="310">
        <f>SUM(E41:E42)</f>
        <v>3531</v>
      </c>
      <c r="F40" s="310">
        <f>SUM(F41:F42)</f>
        <v>0</v>
      </c>
      <c r="G40" s="310">
        <f>SUM(G41:G42)</f>
        <v>0</v>
      </c>
      <c r="H40" s="310" t="e">
        <f t="shared" si="0"/>
        <v>#DIV/0!</v>
      </c>
    </row>
    <row r="41" spans="1:8" ht="16.5" x14ac:dyDescent="0.25">
      <c r="A41" s="296"/>
      <c r="B41" s="553"/>
      <c r="C41" s="364" t="s">
        <v>477</v>
      </c>
      <c r="D41" s="557" t="s">
        <v>894</v>
      </c>
      <c r="E41" s="310">
        <v>2433</v>
      </c>
      <c r="F41" s="310"/>
      <c r="G41" s="310"/>
      <c r="H41" s="310" t="e">
        <f t="shared" si="0"/>
        <v>#DIV/0!</v>
      </c>
    </row>
    <row r="42" spans="1:8" ht="16.5" x14ac:dyDescent="0.25">
      <c r="A42" s="296"/>
      <c r="B42" s="553"/>
      <c r="C42" s="364" t="s">
        <v>911</v>
      </c>
      <c r="D42" s="557" t="s">
        <v>898</v>
      </c>
      <c r="E42" s="310">
        <v>1098</v>
      </c>
      <c r="F42" s="310"/>
      <c r="G42" s="310"/>
      <c r="H42" s="310" t="e">
        <f t="shared" si="0"/>
        <v>#DIV/0!</v>
      </c>
    </row>
    <row r="43" spans="1:8" ht="16.5" x14ac:dyDescent="0.25">
      <c r="A43" s="296"/>
      <c r="B43" s="553"/>
      <c r="C43" s="364" t="s">
        <v>11</v>
      </c>
      <c r="D43" s="309" t="s">
        <v>203</v>
      </c>
      <c r="E43" s="310">
        <f>SUM(E44:E45)</f>
        <v>7502</v>
      </c>
      <c r="F43" s="310">
        <f>SUM(F44:F45)</f>
        <v>0</v>
      </c>
      <c r="G43" s="310">
        <f>SUM(G44:G45)</f>
        <v>0</v>
      </c>
      <c r="H43" s="310" t="e">
        <f t="shared" si="0"/>
        <v>#DIV/0!</v>
      </c>
    </row>
    <row r="44" spans="1:8" ht="16.5" x14ac:dyDescent="0.25">
      <c r="A44" s="296"/>
      <c r="B44" s="553"/>
      <c r="C44" s="364" t="s">
        <v>509</v>
      </c>
      <c r="D44" s="557" t="s">
        <v>894</v>
      </c>
      <c r="E44" s="310">
        <v>7468</v>
      </c>
      <c r="F44" s="310"/>
      <c r="G44" s="310"/>
      <c r="H44" s="310" t="e">
        <f t="shared" si="0"/>
        <v>#DIV/0!</v>
      </c>
    </row>
    <row r="45" spans="1:8" ht="16.5" x14ac:dyDescent="0.25">
      <c r="A45" s="296"/>
      <c r="B45" s="553"/>
      <c r="C45" s="364" t="s">
        <v>911</v>
      </c>
      <c r="D45" s="557" t="s">
        <v>898</v>
      </c>
      <c r="E45" s="310">
        <v>34</v>
      </c>
      <c r="F45" s="310"/>
      <c r="G45" s="310"/>
      <c r="H45" s="310" t="e">
        <f t="shared" si="0"/>
        <v>#DIV/0!</v>
      </c>
    </row>
    <row r="46" spans="1:8" ht="16.5" x14ac:dyDescent="0.25">
      <c r="A46" s="296"/>
      <c r="B46" s="553"/>
      <c r="C46" s="364" t="s">
        <v>13</v>
      </c>
      <c r="D46" s="309" t="s">
        <v>918</v>
      </c>
      <c r="E46" s="310"/>
      <c r="F46" s="310"/>
      <c r="G46" s="310"/>
      <c r="H46" s="310"/>
    </row>
    <row r="47" spans="1:8" ht="16.5" x14ac:dyDescent="0.25">
      <c r="A47" s="296"/>
      <c r="B47" s="553"/>
      <c r="C47" s="364" t="s">
        <v>15</v>
      </c>
      <c r="D47" s="309" t="s">
        <v>919</v>
      </c>
      <c r="E47" s="310"/>
      <c r="F47" s="310"/>
      <c r="G47" s="310"/>
      <c r="H47" s="310"/>
    </row>
    <row r="48" spans="1:8" ht="16.5" x14ac:dyDescent="0.25">
      <c r="A48" s="296"/>
      <c r="B48" s="553"/>
      <c r="C48" s="364" t="s">
        <v>17</v>
      </c>
      <c r="D48" s="309" t="s">
        <v>1474</v>
      </c>
      <c r="E48" s="310"/>
      <c r="F48" s="310"/>
      <c r="G48" s="310"/>
      <c r="H48" s="310"/>
    </row>
    <row r="49" spans="1:11" ht="16.5" x14ac:dyDescent="0.25">
      <c r="A49" s="296"/>
      <c r="B49" s="553"/>
      <c r="C49" s="364"/>
      <c r="D49" s="560" t="s">
        <v>921</v>
      </c>
      <c r="E49" s="559">
        <f>SUM(E37,E40,E43,E46,E47,E48)</f>
        <v>24393</v>
      </c>
      <c r="F49" s="559">
        <f>SUM(F37,F40,F43,F46,F47,F48)</f>
        <v>0</v>
      </c>
      <c r="G49" s="559">
        <f>SUM(G37,G40,G43,G46,G47,G48)</f>
        <v>0</v>
      </c>
      <c r="H49" s="559" t="e">
        <f t="shared" si="0"/>
        <v>#DIV/0!</v>
      </c>
      <c r="K49" s="335"/>
    </row>
    <row r="50" spans="1:11" ht="16.5" x14ac:dyDescent="0.25">
      <c r="A50" s="296"/>
      <c r="B50" s="548" t="s">
        <v>20</v>
      </c>
      <c r="C50" s="292"/>
      <c r="D50" s="561" t="s">
        <v>940</v>
      </c>
      <c r="E50" s="423">
        <v>7.5</v>
      </c>
      <c r="F50" s="423"/>
      <c r="G50" s="423"/>
      <c r="H50" s="423"/>
    </row>
    <row r="51" spans="1:11" ht="16.5" hidden="1" x14ac:dyDescent="0.25">
      <c r="A51" s="573"/>
      <c r="B51" s="573"/>
      <c r="C51" s="574"/>
      <c r="D51" s="576" t="s">
        <v>941</v>
      </c>
      <c r="E51" s="577"/>
      <c r="F51" s="577"/>
      <c r="G51" s="577"/>
      <c r="H51" s="577" t="e">
        <f t="shared" si="0"/>
        <v>#DIV/0!</v>
      </c>
    </row>
    <row r="52" spans="1:11" ht="16.5" hidden="1" x14ac:dyDescent="0.25">
      <c r="A52" s="296"/>
      <c r="B52" s="548" t="s">
        <v>5</v>
      </c>
      <c r="C52" s="363"/>
      <c r="D52" s="551" t="s">
        <v>198</v>
      </c>
      <c r="E52" s="578"/>
      <c r="F52" s="578"/>
      <c r="G52" s="578"/>
      <c r="H52" s="578" t="e">
        <f t="shared" si="0"/>
        <v>#DIV/0!</v>
      </c>
    </row>
    <row r="53" spans="1:11" ht="16.5" hidden="1" x14ac:dyDescent="0.25">
      <c r="A53" s="296"/>
      <c r="B53" s="553"/>
      <c r="C53" s="291" t="s">
        <v>103</v>
      </c>
      <c r="D53" s="309" t="s">
        <v>887</v>
      </c>
      <c r="E53" s="310"/>
      <c r="F53" s="310"/>
      <c r="G53" s="310"/>
      <c r="H53" s="310" t="e">
        <f t="shared" si="0"/>
        <v>#DIV/0!</v>
      </c>
    </row>
    <row r="54" spans="1:11" ht="16.5" hidden="1" customHeight="1" x14ac:dyDescent="0.25">
      <c r="A54" s="296"/>
      <c r="B54" s="553"/>
      <c r="C54" s="363" t="s">
        <v>186</v>
      </c>
      <c r="D54" s="309" t="s">
        <v>929</v>
      </c>
      <c r="E54" s="310"/>
      <c r="F54" s="310"/>
      <c r="G54" s="310"/>
      <c r="H54" s="310" t="e">
        <f t="shared" si="0"/>
        <v>#DIV/0!</v>
      </c>
    </row>
    <row r="55" spans="1:11" ht="16.5" hidden="1" customHeight="1" x14ac:dyDescent="0.25">
      <c r="A55" s="296"/>
      <c r="B55" s="553"/>
      <c r="C55" s="363" t="s">
        <v>930</v>
      </c>
      <c r="D55" s="309" t="s">
        <v>931</v>
      </c>
      <c r="E55" s="310"/>
      <c r="F55" s="310"/>
      <c r="G55" s="310"/>
      <c r="H55" s="310" t="e">
        <f t="shared" si="0"/>
        <v>#DIV/0!</v>
      </c>
    </row>
    <row r="56" spans="1:11" ht="16.5" hidden="1" customHeight="1" x14ac:dyDescent="0.25">
      <c r="A56" s="296"/>
      <c r="B56" s="553"/>
      <c r="C56" s="363" t="s">
        <v>932</v>
      </c>
      <c r="D56" s="309" t="s">
        <v>27</v>
      </c>
      <c r="E56" s="310"/>
      <c r="F56" s="310"/>
      <c r="G56" s="310"/>
      <c r="H56" s="310" t="e">
        <f t="shared" si="0"/>
        <v>#DIV/0!</v>
      </c>
    </row>
    <row r="57" spans="1:11" ht="16.5" hidden="1" customHeight="1" x14ac:dyDescent="0.25">
      <c r="A57" s="296"/>
      <c r="B57" s="553"/>
      <c r="C57" s="363" t="s">
        <v>933</v>
      </c>
      <c r="D57" s="309" t="s">
        <v>934</v>
      </c>
      <c r="E57" s="310"/>
      <c r="F57" s="310"/>
      <c r="G57" s="310"/>
      <c r="H57" s="310" t="e">
        <f t="shared" si="0"/>
        <v>#DIV/0!</v>
      </c>
    </row>
    <row r="58" spans="1:11" ht="16.5" hidden="1" customHeight="1" x14ac:dyDescent="0.25">
      <c r="A58" s="296"/>
      <c r="B58" s="553"/>
      <c r="C58" s="363" t="s">
        <v>935</v>
      </c>
      <c r="D58" s="309" t="s">
        <v>936</v>
      </c>
      <c r="E58" s="310"/>
      <c r="F58" s="310"/>
      <c r="G58" s="310"/>
      <c r="H58" s="310" t="e">
        <f t="shared" si="0"/>
        <v>#DIV/0!</v>
      </c>
    </row>
    <row r="59" spans="1:11" ht="16.5" hidden="1" x14ac:dyDescent="0.25">
      <c r="A59" s="296"/>
      <c r="B59" s="553"/>
      <c r="C59" s="291" t="s">
        <v>105</v>
      </c>
      <c r="D59" s="309" t="s">
        <v>942</v>
      </c>
      <c r="E59" s="310"/>
      <c r="F59" s="310"/>
      <c r="G59" s="310"/>
      <c r="H59" s="310" t="e">
        <f t="shared" si="0"/>
        <v>#DIV/0!</v>
      </c>
    </row>
    <row r="60" spans="1:11" ht="16.5" hidden="1" x14ac:dyDescent="0.25">
      <c r="A60" s="296"/>
      <c r="B60" s="553"/>
      <c r="C60" s="291" t="s">
        <v>107</v>
      </c>
      <c r="D60" s="309" t="s">
        <v>889</v>
      </c>
      <c r="E60" s="310"/>
      <c r="F60" s="310"/>
      <c r="G60" s="310"/>
      <c r="H60" s="310" t="e">
        <f t="shared" si="0"/>
        <v>#DIV/0!</v>
      </c>
    </row>
    <row r="61" spans="1:11" ht="16.5" hidden="1" x14ac:dyDescent="0.25">
      <c r="A61" s="554"/>
      <c r="B61" s="555"/>
      <c r="C61" s="316" t="s">
        <v>397</v>
      </c>
      <c r="D61" s="313" t="s">
        <v>890</v>
      </c>
      <c r="E61" s="314"/>
      <c r="F61" s="314"/>
      <c r="G61" s="314"/>
      <c r="H61" s="314" t="e">
        <f t="shared" si="0"/>
        <v>#DIV/0!</v>
      </c>
    </row>
    <row r="62" spans="1:11" ht="16.5" hidden="1" x14ac:dyDescent="0.25">
      <c r="A62" s="296"/>
      <c r="B62" s="553"/>
      <c r="C62" s="363" t="s">
        <v>891</v>
      </c>
      <c r="D62" s="309" t="s">
        <v>943</v>
      </c>
      <c r="E62" s="310"/>
      <c r="F62" s="310"/>
      <c r="G62" s="310"/>
      <c r="H62" s="310" t="e">
        <f t="shared" si="0"/>
        <v>#DIV/0!</v>
      </c>
    </row>
    <row r="63" spans="1:11" ht="16.5" hidden="1" x14ac:dyDescent="0.25">
      <c r="A63" s="296"/>
      <c r="B63" s="553"/>
      <c r="C63" s="363"/>
      <c r="D63" s="557" t="s">
        <v>894</v>
      </c>
      <c r="E63" s="310"/>
      <c r="F63" s="310"/>
      <c r="G63" s="310"/>
      <c r="H63" s="310" t="e">
        <f t="shared" si="0"/>
        <v>#DIV/0!</v>
      </c>
    </row>
    <row r="64" spans="1:11" ht="16.5" hidden="1" x14ac:dyDescent="0.25">
      <c r="A64" s="296"/>
      <c r="B64" s="553"/>
      <c r="C64" s="363"/>
      <c r="D64" s="556" t="s">
        <v>902</v>
      </c>
      <c r="E64" s="310"/>
      <c r="F64" s="310"/>
      <c r="G64" s="310"/>
      <c r="H64" s="310" t="e">
        <f t="shared" si="0"/>
        <v>#DIV/0!</v>
      </c>
    </row>
    <row r="65" spans="1:8" ht="16.5" hidden="1" x14ac:dyDescent="0.25">
      <c r="A65" s="296"/>
      <c r="B65" s="553"/>
      <c r="C65" s="363"/>
      <c r="D65" s="557" t="s">
        <v>894</v>
      </c>
      <c r="E65" s="310"/>
      <c r="F65" s="310"/>
      <c r="G65" s="310"/>
      <c r="H65" s="310" t="e">
        <f t="shared" si="0"/>
        <v>#DIV/0!</v>
      </c>
    </row>
    <row r="66" spans="1:8" ht="16.5" hidden="1" x14ac:dyDescent="0.25">
      <c r="A66" s="296"/>
      <c r="B66" s="553"/>
      <c r="C66" s="363"/>
      <c r="D66" s="556" t="s">
        <v>908</v>
      </c>
      <c r="E66" s="310"/>
      <c r="F66" s="310"/>
      <c r="G66" s="310"/>
      <c r="H66" s="310" t="e">
        <f t="shared" si="0"/>
        <v>#DIV/0!</v>
      </c>
    </row>
    <row r="67" spans="1:8" ht="16.5" hidden="1" x14ac:dyDescent="0.25">
      <c r="A67" s="296"/>
      <c r="B67" s="553"/>
      <c r="C67" s="363"/>
      <c r="D67" s="557" t="s">
        <v>894</v>
      </c>
      <c r="E67" s="310"/>
      <c r="F67" s="310"/>
      <c r="G67" s="310"/>
      <c r="H67" s="310" t="e">
        <f t="shared" si="0"/>
        <v>#DIV/0!</v>
      </c>
    </row>
    <row r="68" spans="1:8" ht="16.5" hidden="1" x14ac:dyDescent="0.25">
      <c r="A68" s="296"/>
      <c r="B68" s="553"/>
      <c r="C68" s="291" t="s">
        <v>109</v>
      </c>
      <c r="D68" s="309" t="s">
        <v>442</v>
      </c>
      <c r="E68" s="310"/>
      <c r="F68" s="310"/>
      <c r="G68" s="310"/>
      <c r="H68" s="310" t="e">
        <f t="shared" si="0"/>
        <v>#DIV/0!</v>
      </c>
    </row>
    <row r="69" spans="1:8" ht="16.5" hidden="1" x14ac:dyDescent="0.25">
      <c r="A69" s="296"/>
      <c r="B69" s="553"/>
      <c r="C69" s="363"/>
      <c r="D69" s="557" t="s">
        <v>898</v>
      </c>
      <c r="E69" s="310"/>
      <c r="F69" s="310"/>
      <c r="G69" s="310"/>
      <c r="H69" s="310" t="e">
        <f t="shared" si="0"/>
        <v>#DIV/0!</v>
      </c>
    </row>
    <row r="70" spans="1:8" ht="16.5" hidden="1" customHeight="1" x14ac:dyDescent="0.25">
      <c r="A70" s="296"/>
      <c r="B70" s="553"/>
      <c r="C70" s="363"/>
      <c r="D70" s="557"/>
      <c r="E70" s="310"/>
      <c r="F70" s="310"/>
      <c r="G70" s="310"/>
      <c r="H70" s="310" t="e">
        <f t="shared" si="0"/>
        <v>#DIV/0!</v>
      </c>
    </row>
    <row r="71" spans="1:8" ht="16.5" hidden="1" customHeight="1" x14ac:dyDescent="0.25">
      <c r="A71" s="296"/>
      <c r="B71" s="553"/>
      <c r="C71" s="363"/>
      <c r="D71" s="309"/>
      <c r="E71" s="310"/>
      <c r="F71" s="310"/>
      <c r="G71" s="310"/>
      <c r="H71" s="310" t="e">
        <f t="shared" si="0"/>
        <v>#DIV/0!</v>
      </c>
    </row>
    <row r="72" spans="1:8" ht="16.5" hidden="1" x14ac:dyDescent="0.25">
      <c r="A72" s="296"/>
      <c r="B72" s="553"/>
      <c r="C72" s="363"/>
      <c r="D72" s="309"/>
      <c r="E72" s="310"/>
      <c r="F72" s="310"/>
      <c r="G72" s="310"/>
      <c r="H72" s="310" t="e">
        <f t="shared" si="0"/>
        <v>#DIV/0!</v>
      </c>
    </row>
    <row r="73" spans="1:8" ht="16.5" hidden="1" x14ac:dyDescent="0.25">
      <c r="A73" s="296"/>
      <c r="B73" s="553"/>
      <c r="C73" s="363"/>
      <c r="D73" s="558" t="s">
        <v>910</v>
      </c>
      <c r="E73" s="559"/>
      <c r="F73" s="559"/>
      <c r="G73" s="559"/>
      <c r="H73" s="559" t="e">
        <f t="shared" ref="H73:H136" si="1">G73/F73*100</f>
        <v>#DIV/0!</v>
      </c>
    </row>
    <row r="74" spans="1:8" ht="16.5" hidden="1" x14ac:dyDescent="0.25">
      <c r="A74" s="296"/>
      <c r="B74" s="548" t="s">
        <v>6</v>
      </c>
      <c r="C74" s="364"/>
      <c r="D74" s="551" t="s">
        <v>199</v>
      </c>
      <c r="E74" s="578"/>
      <c r="F74" s="578"/>
      <c r="G74" s="578"/>
      <c r="H74" s="578" t="e">
        <f t="shared" si="1"/>
        <v>#DIV/0!</v>
      </c>
    </row>
    <row r="75" spans="1:8" ht="16.5" hidden="1" x14ac:dyDescent="0.25">
      <c r="A75" s="296"/>
      <c r="B75" s="553"/>
      <c r="C75" s="364" t="s">
        <v>7</v>
      </c>
      <c r="D75" s="309" t="s">
        <v>538</v>
      </c>
      <c r="E75" s="310"/>
      <c r="F75" s="310"/>
      <c r="G75" s="310"/>
      <c r="H75" s="310" t="e">
        <f t="shared" si="1"/>
        <v>#DIV/0!</v>
      </c>
    </row>
    <row r="76" spans="1:8" ht="16.5" hidden="1" x14ac:dyDescent="0.25">
      <c r="A76" s="296"/>
      <c r="B76" s="553"/>
      <c r="C76" s="364"/>
      <c r="D76" s="557" t="s">
        <v>944</v>
      </c>
      <c r="E76" s="310"/>
      <c r="F76" s="310"/>
      <c r="G76" s="310"/>
      <c r="H76" s="310" t="e">
        <f t="shared" si="1"/>
        <v>#DIV/0!</v>
      </c>
    </row>
    <row r="77" spans="1:8" ht="16.5" hidden="1" x14ac:dyDescent="0.25">
      <c r="A77" s="296"/>
      <c r="B77" s="553"/>
      <c r="C77" s="364"/>
      <c r="D77" s="557" t="s">
        <v>894</v>
      </c>
      <c r="E77" s="310"/>
      <c r="F77" s="310"/>
      <c r="G77" s="310"/>
      <c r="H77" s="310" t="e">
        <f t="shared" si="1"/>
        <v>#DIV/0!</v>
      </c>
    </row>
    <row r="78" spans="1:8" ht="16.5" hidden="1" x14ac:dyDescent="0.25">
      <c r="A78" s="296"/>
      <c r="B78" s="553"/>
      <c r="C78" s="364" t="s">
        <v>9</v>
      </c>
      <c r="D78" s="309" t="s">
        <v>539</v>
      </c>
      <c r="E78" s="310"/>
      <c r="F78" s="310"/>
      <c r="G78" s="310"/>
      <c r="H78" s="310" t="e">
        <f t="shared" si="1"/>
        <v>#DIV/0!</v>
      </c>
    </row>
    <row r="79" spans="1:8" ht="16.5" hidden="1" x14ac:dyDescent="0.25">
      <c r="A79" s="296"/>
      <c r="B79" s="553"/>
      <c r="C79" s="364"/>
      <c r="D79" s="557" t="s">
        <v>944</v>
      </c>
      <c r="E79" s="310"/>
      <c r="F79" s="310"/>
      <c r="G79" s="310"/>
      <c r="H79" s="310" t="e">
        <f t="shared" si="1"/>
        <v>#DIV/0!</v>
      </c>
    </row>
    <row r="80" spans="1:8" ht="16.5" hidden="1" x14ac:dyDescent="0.25">
      <c r="A80" s="296"/>
      <c r="B80" s="553"/>
      <c r="C80" s="364"/>
      <c r="D80" s="557" t="s">
        <v>894</v>
      </c>
      <c r="E80" s="310"/>
      <c r="F80" s="310"/>
      <c r="G80" s="310"/>
      <c r="H80" s="310" t="e">
        <f t="shared" si="1"/>
        <v>#DIV/0!</v>
      </c>
    </row>
    <row r="81" spans="1:8" ht="16.5" hidden="1" x14ac:dyDescent="0.25">
      <c r="A81" s="296"/>
      <c r="B81" s="553"/>
      <c r="C81" s="364" t="s">
        <v>11</v>
      </c>
      <c r="D81" s="309" t="s">
        <v>203</v>
      </c>
      <c r="E81" s="310"/>
      <c r="F81" s="310"/>
      <c r="G81" s="310"/>
      <c r="H81" s="310" t="e">
        <f t="shared" si="1"/>
        <v>#DIV/0!</v>
      </c>
    </row>
    <row r="82" spans="1:8" ht="16.5" hidden="1" x14ac:dyDescent="0.25">
      <c r="A82" s="296"/>
      <c r="B82" s="553"/>
      <c r="C82" s="364"/>
      <c r="D82" s="557" t="s">
        <v>894</v>
      </c>
      <c r="E82" s="310"/>
      <c r="F82" s="310"/>
      <c r="G82" s="310"/>
      <c r="H82" s="310" t="e">
        <f t="shared" si="1"/>
        <v>#DIV/0!</v>
      </c>
    </row>
    <row r="83" spans="1:8" ht="16.5" hidden="1" x14ac:dyDescent="0.25">
      <c r="A83" s="296"/>
      <c r="B83" s="553"/>
      <c r="C83" s="364"/>
      <c r="D83" s="309" t="s">
        <v>915</v>
      </c>
      <c r="E83" s="310"/>
      <c r="F83" s="310"/>
      <c r="G83" s="310"/>
      <c r="H83" s="310" t="e">
        <f t="shared" si="1"/>
        <v>#DIV/0!</v>
      </c>
    </row>
    <row r="84" spans="1:8" ht="16.5" hidden="1" x14ac:dyDescent="0.25">
      <c r="A84" s="296"/>
      <c r="B84" s="553"/>
      <c r="C84" s="364"/>
      <c r="D84" s="557" t="s">
        <v>898</v>
      </c>
      <c r="E84" s="310"/>
      <c r="F84" s="310"/>
      <c r="G84" s="310"/>
      <c r="H84" s="310" t="e">
        <f t="shared" si="1"/>
        <v>#DIV/0!</v>
      </c>
    </row>
    <row r="85" spans="1:8" ht="16.5" hidden="1" x14ac:dyDescent="0.25">
      <c r="A85" s="296"/>
      <c r="B85" s="553"/>
      <c r="C85" s="364" t="s">
        <v>13</v>
      </c>
      <c r="D85" s="309" t="s">
        <v>918</v>
      </c>
      <c r="E85" s="310"/>
      <c r="F85" s="310"/>
      <c r="G85" s="310"/>
      <c r="H85" s="310" t="e">
        <f t="shared" si="1"/>
        <v>#DIV/0!</v>
      </c>
    </row>
    <row r="86" spans="1:8" ht="16.5" hidden="1" x14ac:dyDescent="0.25">
      <c r="A86" s="296"/>
      <c r="B86" s="553"/>
      <c r="C86" s="364" t="s">
        <v>15</v>
      </c>
      <c r="D86" s="309" t="s">
        <v>919</v>
      </c>
      <c r="E86" s="310"/>
      <c r="F86" s="310"/>
      <c r="G86" s="310"/>
      <c r="H86" s="310" t="e">
        <f t="shared" si="1"/>
        <v>#DIV/0!</v>
      </c>
    </row>
    <row r="87" spans="1:8" ht="16.5" hidden="1" x14ac:dyDescent="0.25">
      <c r="A87" s="296"/>
      <c r="B87" s="553"/>
      <c r="C87" s="364" t="s">
        <v>17</v>
      </c>
      <c r="D87" s="309" t="s">
        <v>920</v>
      </c>
      <c r="E87" s="310"/>
      <c r="F87" s="310"/>
      <c r="G87" s="310"/>
      <c r="H87" s="310" t="e">
        <f t="shared" si="1"/>
        <v>#DIV/0!</v>
      </c>
    </row>
    <row r="88" spans="1:8" ht="16.5" hidden="1" x14ac:dyDescent="0.25">
      <c r="A88" s="296"/>
      <c r="B88" s="553"/>
      <c r="C88" s="364"/>
      <c r="D88" s="560" t="s">
        <v>921</v>
      </c>
      <c r="E88" s="559"/>
      <c r="F88" s="559"/>
      <c r="G88" s="559"/>
      <c r="H88" s="559" t="e">
        <f t="shared" si="1"/>
        <v>#DIV/0!</v>
      </c>
    </row>
    <row r="89" spans="1:8" ht="16.5" hidden="1" x14ac:dyDescent="0.25">
      <c r="A89" s="296"/>
      <c r="B89" s="548" t="s">
        <v>20</v>
      </c>
      <c r="C89" s="292"/>
      <c r="D89" s="561" t="s">
        <v>940</v>
      </c>
      <c r="E89" s="428"/>
      <c r="F89" s="428"/>
      <c r="G89" s="428"/>
      <c r="H89" s="428" t="e">
        <f t="shared" si="1"/>
        <v>#DIV/0!</v>
      </c>
    </row>
    <row r="90" spans="1:8" ht="16.5" x14ac:dyDescent="0.25">
      <c r="A90" s="547"/>
      <c r="B90" s="573"/>
      <c r="C90" s="574"/>
      <c r="D90" s="579" t="s">
        <v>945</v>
      </c>
      <c r="E90" s="580"/>
      <c r="F90" s="580"/>
      <c r="G90" s="580"/>
      <c r="H90" s="580"/>
    </row>
    <row r="91" spans="1:8" ht="16.5" x14ac:dyDescent="0.25">
      <c r="A91" s="296"/>
      <c r="B91" s="548" t="s">
        <v>5</v>
      </c>
      <c r="C91" s="364"/>
      <c r="D91" s="551" t="s">
        <v>198</v>
      </c>
      <c r="E91" s="567"/>
      <c r="F91" s="567"/>
      <c r="G91" s="567"/>
      <c r="H91" s="567"/>
    </row>
    <row r="92" spans="1:8" ht="16.5" x14ac:dyDescent="0.25">
      <c r="A92" s="296"/>
      <c r="B92" s="553"/>
      <c r="C92" s="291" t="s">
        <v>103</v>
      </c>
      <c r="D92" s="309" t="s">
        <v>887</v>
      </c>
      <c r="E92" s="310">
        <v>0</v>
      </c>
      <c r="F92" s="310">
        <v>0</v>
      </c>
      <c r="G92" s="310"/>
      <c r="H92" s="310"/>
    </row>
    <row r="93" spans="1:8" ht="16.5" hidden="1" customHeight="1" x14ac:dyDescent="0.25">
      <c r="A93" s="296"/>
      <c r="B93" s="553"/>
      <c r="C93" s="363" t="s">
        <v>186</v>
      </c>
      <c r="D93" s="309" t="s">
        <v>929</v>
      </c>
      <c r="E93" s="310"/>
      <c r="F93" s="310"/>
      <c r="G93" s="310"/>
      <c r="H93" s="310"/>
    </row>
    <row r="94" spans="1:8" ht="16.5" hidden="1" customHeight="1" x14ac:dyDescent="0.25">
      <c r="A94" s="296"/>
      <c r="B94" s="553"/>
      <c r="C94" s="363" t="s">
        <v>930</v>
      </c>
      <c r="D94" s="309" t="s">
        <v>931</v>
      </c>
      <c r="E94" s="310"/>
      <c r="F94" s="310"/>
      <c r="G94" s="310"/>
      <c r="H94" s="310"/>
    </row>
    <row r="95" spans="1:8" ht="16.5" hidden="1" customHeight="1" x14ac:dyDescent="0.25">
      <c r="A95" s="296"/>
      <c r="B95" s="553"/>
      <c r="C95" s="363" t="s">
        <v>932</v>
      </c>
      <c r="D95" s="309" t="s">
        <v>27</v>
      </c>
      <c r="E95" s="310"/>
      <c r="F95" s="310"/>
      <c r="G95" s="310"/>
      <c r="H95" s="310"/>
    </row>
    <row r="96" spans="1:8" ht="16.5" hidden="1" customHeight="1" x14ac:dyDescent="0.25">
      <c r="A96" s="296"/>
      <c r="B96" s="553"/>
      <c r="C96" s="363" t="s">
        <v>933</v>
      </c>
      <c r="D96" s="309" t="s">
        <v>934</v>
      </c>
      <c r="E96" s="310"/>
      <c r="F96" s="310"/>
      <c r="G96" s="310"/>
      <c r="H96" s="310"/>
    </row>
    <row r="97" spans="1:8" ht="16.5" hidden="1" customHeight="1" x14ac:dyDescent="0.25">
      <c r="A97" s="296"/>
      <c r="B97" s="553"/>
      <c r="C97" s="363" t="s">
        <v>935</v>
      </c>
      <c r="D97" s="309" t="s">
        <v>936</v>
      </c>
      <c r="E97" s="310"/>
      <c r="F97" s="310"/>
      <c r="G97" s="310"/>
      <c r="H97" s="310"/>
    </row>
    <row r="98" spans="1:8" ht="16.5" x14ac:dyDescent="0.25">
      <c r="A98" s="296"/>
      <c r="B98" s="553"/>
      <c r="C98" s="291" t="s">
        <v>105</v>
      </c>
      <c r="D98" s="309" t="s">
        <v>888</v>
      </c>
      <c r="E98" s="310"/>
      <c r="F98" s="310"/>
      <c r="G98" s="310"/>
      <c r="H98" s="310"/>
    </row>
    <row r="99" spans="1:8" ht="16.5" x14ac:dyDescent="0.25">
      <c r="A99" s="296"/>
      <c r="B99" s="553"/>
      <c r="C99" s="291" t="s">
        <v>107</v>
      </c>
      <c r="D99" s="309" t="s">
        <v>889</v>
      </c>
      <c r="E99" s="310">
        <f>SUM(E100)</f>
        <v>3391</v>
      </c>
      <c r="F99" s="310">
        <f>SUM(F100)</f>
        <v>0</v>
      </c>
      <c r="G99" s="310">
        <f>SUM(G100)</f>
        <v>0</v>
      </c>
      <c r="H99" s="310" t="e">
        <f t="shared" si="1"/>
        <v>#DIV/0!</v>
      </c>
    </row>
    <row r="100" spans="1:8" ht="16.5" x14ac:dyDescent="0.25">
      <c r="A100" s="554"/>
      <c r="B100" s="555"/>
      <c r="C100" s="316" t="s">
        <v>397</v>
      </c>
      <c r="D100" s="313" t="s">
        <v>890</v>
      </c>
      <c r="E100" s="314">
        <f>SUM(E101+E104+E107)</f>
        <v>3391</v>
      </c>
      <c r="F100" s="314">
        <f>SUM(F101+F104+F107)</f>
        <v>0</v>
      </c>
      <c r="G100" s="314">
        <f>SUM(G101+G104+G107)</f>
        <v>0</v>
      </c>
      <c r="H100" s="314" t="e">
        <f t="shared" si="1"/>
        <v>#DIV/0!</v>
      </c>
    </row>
    <row r="101" spans="1:8" ht="16.5" x14ac:dyDescent="0.25">
      <c r="A101" s="296"/>
      <c r="B101" s="553"/>
      <c r="C101" s="363" t="s">
        <v>891</v>
      </c>
      <c r="D101" s="309" t="s">
        <v>946</v>
      </c>
      <c r="E101" s="310">
        <f>SUM(E102:E103)</f>
        <v>321</v>
      </c>
      <c r="F101" s="310">
        <f>SUM(F102:F103)</f>
        <v>0</v>
      </c>
      <c r="G101" s="310">
        <f>SUM(G102:G103)</f>
        <v>0</v>
      </c>
      <c r="H101" s="310" t="e">
        <f t="shared" si="1"/>
        <v>#DIV/0!</v>
      </c>
    </row>
    <row r="102" spans="1:8" ht="16.5" x14ac:dyDescent="0.25">
      <c r="A102" s="296"/>
      <c r="B102" s="553"/>
      <c r="C102" s="363" t="s">
        <v>893</v>
      </c>
      <c r="D102" s="557" t="s">
        <v>894</v>
      </c>
      <c r="E102" s="310">
        <v>321</v>
      </c>
      <c r="F102" s="310"/>
      <c r="G102" s="310"/>
      <c r="H102" s="310" t="e">
        <f t="shared" si="1"/>
        <v>#DIV/0!</v>
      </c>
    </row>
    <row r="103" spans="1:8" ht="16.5" x14ac:dyDescent="0.25">
      <c r="A103" s="296"/>
      <c r="B103" s="553"/>
      <c r="C103" s="363" t="s">
        <v>895</v>
      </c>
      <c r="D103" s="557" t="s">
        <v>898</v>
      </c>
      <c r="E103" s="310"/>
      <c r="F103" s="310"/>
      <c r="G103" s="310"/>
      <c r="H103" s="310"/>
    </row>
    <row r="104" spans="1:8" ht="16.5" x14ac:dyDescent="0.25">
      <c r="A104" s="296"/>
      <c r="B104" s="553"/>
      <c r="C104" s="363" t="s">
        <v>901</v>
      </c>
      <c r="D104" s="556" t="s">
        <v>902</v>
      </c>
      <c r="E104" s="310"/>
      <c r="F104" s="310"/>
      <c r="G104" s="310"/>
      <c r="H104" s="310"/>
    </row>
    <row r="105" spans="1:8" ht="16.5" x14ac:dyDescent="0.25">
      <c r="A105" s="296"/>
      <c r="B105" s="553"/>
      <c r="C105" s="363" t="s">
        <v>903</v>
      </c>
      <c r="D105" s="557" t="s">
        <v>894</v>
      </c>
      <c r="E105" s="310"/>
      <c r="F105" s="310"/>
      <c r="G105" s="310"/>
      <c r="H105" s="310"/>
    </row>
    <row r="106" spans="1:8" ht="16.5" x14ac:dyDescent="0.25">
      <c r="A106" s="296"/>
      <c r="B106" s="553"/>
      <c r="C106" s="363" t="s">
        <v>904</v>
      </c>
      <c r="D106" s="557" t="s">
        <v>898</v>
      </c>
      <c r="E106" s="310"/>
      <c r="F106" s="310"/>
      <c r="G106" s="310"/>
      <c r="H106" s="310"/>
    </row>
    <row r="107" spans="1:8" ht="16.5" x14ac:dyDescent="0.25">
      <c r="A107" s="296"/>
      <c r="B107" s="553"/>
      <c r="C107" s="363" t="s">
        <v>907</v>
      </c>
      <c r="D107" s="556" t="s">
        <v>908</v>
      </c>
      <c r="E107" s="310">
        <f>SUM(E108:E109)</f>
        <v>3070</v>
      </c>
      <c r="F107" s="310">
        <f>SUM(F108:F109)</f>
        <v>0</v>
      </c>
      <c r="G107" s="310">
        <f>SUM(G108:G109)</f>
        <v>0</v>
      </c>
      <c r="H107" s="310" t="e">
        <f t="shared" si="1"/>
        <v>#DIV/0!</v>
      </c>
    </row>
    <row r="108" spans="1:8" ht="16.5" x14ac:dyDescent="0.25">
      <c r="A108" s="296"/>
      <c r="B108" s="553"/>
      <c r="C108" s="363" t="s">
        <v>909</v>
      </c>
      <c r="D108" s="557" t="s">
        <v>894</v>
      </c>
      <c r="E108" s="310">
        <v>3070</v>
      </c>
      <c r="F108" s="310"/>
      <c r="G108" s="310"/>
      <c r="H108" s="310" t="e">
        <f t="shared" si="1"/>
        <v>#DIV/0!</v>
      </c>
    </row>
    <row r="109" spans="1:8" ht="16.5" x14ac:dyDescent="0.25">
      <c r="A109" s="296"/>
      <c r="B109" s="553"/>
      <c r="C109" s="363" t="s">
        <v>947</v>
      </c>
      <c r="D109" s="557" t="s">
        <v>898</v>
      </c>
      <c r="E109" s="310"/>
      <c r="F109" s="310"/>
      <c r="G109" s="310"/>
      <c r="H109" s="310"/>
    </row>
    <row r="110" spans="1:8" ht="16.5" x14ac:dyDescent="0.25">
      <c r="A110" s="296"/>
      <c r="B110" s="553"/>
      <c r="C110" s="291" t="s">
        <v>109</v>
      </c>
      <c r="D110" s="309" t="s">
        <v>948</v>
      </c>
      <c r="E110" s="310">
        <f>SUM(E111)</f>
        <v>3006</v>
      </c>
      <c r="F110" s="310">
        <f>SUM(F111)</f>
        <v>0</v>
      </c>
      <c r="G110" s="310">
        <f>SUM(G111)</f>
        <v>0</v>
      </c>
      <c r="H110" s="310" t="e">
        <f t="shared" si="1"/>
        <v>#DIV/0!</v>
      </c>
    </row>
    <row r="111" spans="1:8" ht="16.5" x14ac:dyDescent="0.25">
      <c r="A111" s="296"/>
      <c r="B111" s="553"/>
      <c r="C111" s="363" t="s">
        <v>437</v>
      </c>
      <c r="D111" s="557" t="s">
        <v>949</v>
      </c>
      <c r="E111" s="310">
        <v>3006</v>
      </c>
      <c r="F111" s="310"/>
      <c r="G111" s="310"/>
      <c r="H111" s="310" t="e">
        <f t="shared" si="1"/>
        <v>#DIV/0!</v>
      </c>
    </row>
    <row r="112" spans="1:8" ht="16.5" hidden="1" customHeight="1" x14ac:dyDescent="0.25">
      <c r="A112" s="296"/>
      <c r="B112" s="553"/>
      <c r="C112" s="363"/>
      <c r="D112" s="557"/>
      <c r="E112" s="310"/>
      <c r="F112" s="310"/>
      <c r="G112" s="310"/>
      <c r="H112" s="310" t="e">
        <f t="shared" si="1"/>
        <v>#DIV/0!</v>
      </c>
    </row>
    <row r="113" spans="1:11" ht="16.5" hidden="1" customHeight="1" x14ac:dyDescent="0.25">
      <c r="A113" s="296"/>
      <c r="B113" s="553"/>
      <c r="C113" s="363"/>
      <c r="D113" s="309"/>
      <c r="E113" s="310"/>
      <c r="F113" s="310"/>
      <c r="G113" s="310"/>
      <c r="H113" s="310" t="e">
        <f t="shared" si="1"/>
        <v>#DIV/0!</v>
      </c>
    </row>
    <row r="114" spans="1:11" ht="16.5" x14ac:dyDescent="0.25">
      <c r="A114" s="296"/>
      <c r="B114" s="553"/>
      <c r="C114" s="363"/>
      <c r="D114" s="558" t="s">
        <v>910</v>
      </c>
      <c r="E114" s="559">
        <f>SUM(E92+E98+E99+E110)</f>
        <v>6397</v>
      </c>
      <c r="F114" s="559">
        <f>SUM(F92+F98+F99+F110)</f>
        <v>0</v>
      </c>
      <c r="G114" s="559">
        <f>SUM(G92+G98+G99+G110)</f>
        <v>0</v>
      </c>
      <c r="H114" s="559" t="e">
        <f t="shared" si="1"/>
        <v>#DIV/0!</v>
      </c>
    </row>
    <row r="115" spans="1:11" ht="16.5" x14ac:dyDescent="0.25">
      <c r="A115" s="296"/>
      <c r="B115" s="548" t="s">
        <v>6</v>
      </c>
      <c r="C115" s="364"/>
      <c r="D115" s="551" t="s">
        <v>199</v>
      </c>
      <c r="E115" s="567"/>
      <c r="F115" s="567"/>
      <c r="G115" s="567"/>
      <c r="H115" s="567"/>
    </row>
    <row r="116" spans="1:11" ht="16.5" x14ac:dyDescent="0.25">
      <c r="A116" s="296"/>
      <c r="B116" s="553"/>
      <c r="C116" s="364" t="s">
        <v>7</v>
      </c>
      <c r="D116" s="309" t="s">
        <v>538</v>
      </c>
      <c r="E116" s="310">
        <f>SUM(E117:E117)</f>
        <v>720</v>
      </c>
      <c r="F116" s="310">
        <f>SUM(F117:F117)</f>
        <v>0</v>
      </c>
      <c r="G116" s="310">
        <f>SUM(G117:G117)</f>
        <v>0</v>
      </c>
      <c r="H116" s="310" t="e">
        <f t="shared" si="1"/>
        <v>#DIV/0!</v>
      </c>
    </row>
    <row r="117" spans="1:11" ht="16.5" x14ac:dyDescent="0.25">
      <c r="A117" s="296"/>
      <c r="B117" s="553"/>
      <c r="C117" s="364" t="s">
        <v>477</v>
      </c>
      <c r="D117" s="557" t="s">
        <v>944</v>
      </c>
      <c r="E117" s="310">
        <v>720</v>
      </c>
      <c r="F117" s="310"/>
      <c r="G117" s="310"/>
      <c r="H117" s="310" t="e">
        <f t="shared" si="1"/>
        <v>#DIV/0!</v>
      </c>
    </row>
    <row r="118" spans="1:11" ht="16.5" x14ac:dyDescent="0.25">
      <c r="A118" s="296"/>
      <c r="B118" s="553"/>
      <c r="C118" s="364" t="s">
        <v>9</v>
      </c>
      <c r="D118" s="309" t="s">
        <v>539</v>
      </c>
      <c r="E118" s="310">
        <f>SUM(E119:E119)</f>
        <v>197</v>
      </c>
      <c r="F118" s="310">
        <f>SUM(F119:F119)</f>
        <v>0</v>
      </c>
      <c r="G118" s="310">
        <f>SUM(G119:G119)</f>
        <v>0</v>
      </c>
      <c r="H118" s="310" t="e">
        <f t="shared" si="1"/>
        <v>#DIV/0!</v>
      </c>
    </row>
    <row r="119" spans="1:11" ht="16.5" x14ac:dyDescent="0.25">
      <c r="A119" s="296"/>
      <c r="B119" s="553"/>
      <c r="C119" s="364" t="s">
        <v>507</v>
      </c>
      <c r="D119" s="557" t="s">
        <v>944</v>
      </c>
      <c r="E119" s="310">
        <v>197</v>
      </c>
      <c r="F119" s="310"/>
      <c r="G119" s="310"/>
      <c r="H119" s="310" t="e">
        <f t="shared" si="1"/>
        <v>#DIV/0!</v>
      </c>
    </row>
    <row r="120" spans="1:11" ht="16.5" x14ac:dyDescent="0.25">
      <c r="A120" s="296"/>
      <c r="B120" s="553"/>
      <c r="C120" s="364" t="s">
        <v>11</v>
      </c>
      <c r="D120" s="309" t="s">
        <v>203</v>
      </c>
      <c r="E120" s="310">
        <f>SUM(E121:E122)</f>
        <v>2474</v>
      </c>
      <c r="F120" s="310">
        <f>SUM(F121:F122)</f>
        <v>0</v>
      </c>
      <c r="G120" s="310">
        <f>SUM(G121:G122)</f>
        <v>0</v>
      </c>
      <c r="H120" s="310" t="e">
        <f t="shared" si="1"/>
        <v>#DIV/0!</v>
      </c>
    </row>
    <row r="121" spans="1:11" ht="16.5" x14ac:dyDescent="0.25">
      <c r="A121" s="296"/>
      <c r="B121" s="553"/>
      <c r="C121" s="364" t="s">
        <v>509</v>
      </c>
      <c r="D121" s="557" t="s">
        <v>894</v>
      </c>
      <c r="E121" s="310">
        <v>64</v>
      </c>
      <c r="F121" s="310"/>
      <c r="G121" s="310"/>
      <c r="H121" s="310" t="e">
        <f t="shared" si="1"/>
        <v>#DIV/0!</v>
      </c>
    </row>
    <row r="122" spans="1:11" ht="16.5" x14ac:dyDescent="0.25">
      <c r="A122" s="296"/>
      <c r="B122" s="553"/>
      <c r="C122" s="364" t="s">
        <v>760</v>
      </c>
      <c r="D122" s="557" t="s">
        <v>944</v>
      </c>
      <c r="E122" s="310">
        <v>2410</v>
      </c>
      <c r="F122" s="310"/>
      <c r="G122" s="310"/>
      <c r="H122" s="310" t="e">
        <f t="shared" si="1"/>
        <v>#DIV/0!</v>
      </c>
    </row>
    <row r="123" spans="1:11" ht="16.5" x14ac:dyDescent="0.25">
      <c r="A123" s="296"/>
      <c r="B123" s="553"/>
      <c r="C123" s="364" t="s">
        <v>13</v>
      </c>
      <c r="D123" s="309" t="s">
        <v>915</v>
      </c>
      <c r="E123" s="310">
        <f>SUM(E124)</f>
        <v>3006</v>
      </c>
      <c r="F123" s="310">
        <f>SUM(F124)</f>
        <v>0</v>
      </c>
      <c r="G123" s="310">
        <f>SUM(G124)</f>
        <v>0</v>
      </c>
      <c r="H123" s="310" t="e">
        <f t="shared" si="1"/>
        <v>#DIV/0!</v>
      </c>
    </row>
    <row r="124" spans="1:11" ht="16.5" x14ac:dyDescent="0.25">
      <c r="A124" s="296"/>
      <c r="B124" s="553"/>
      <c r="C124" s="364" t="s">
        <v>516</v>
      </c>
      <c r="D124" s="557" t="s">
        <v>898</v>
      </c>
      <c r="E124" s="310">
        <v>3006</v>
      </c>
      <c r="F124" s="310"/>
      <c r="G124" s="310"/>
      <c r="H124" s="310" t="e">
        <f t="shared" si="1"/>
        <v>#DIV/0!</v>
      </c>
    </row>
    <row r="125" spans="1:11" ht="16.5" x14ac:dyDescent="0.25">
      <c r="A125" s="296"/>
      <c r="B125" s="553"/>
      <c r="C125" s="364" t="s">
        <v>15</v>
      </c>
      <c r="D125" s="309" t="s">
        <v>918</v>
      </c>
      <c r="E125" s="310"/>
      <c r="F125" s="310"/>
      <c r="G125" s="310"/>
      <c r="H125" s="310"/>
    </row>
    <row r="126" spans="1:11" ht="16.5" x14ac:dyDescent="0.25">
      <c r="A126" s="296"/>
      <c r="B126" s="553"/>
      <c r="C126" s="364" t="s">
        <v>17</v>
      </c>
      <c r="D126" s="309" t="s">
        <v>919</v>
      </c>
      <c r="E126" s="310"/>
      <c r="F126" s="310"/>
      <c r="G126" s="310"/>
      <c r="H126" s="310"/>
    </row>
    <row r="127" spans="1:11" ht="16.5" x14ac:dyDescent="0.25">
      <c r="A127" s="296"/>
      <c r="B127" s="553"/>
      <c r="C127" s="540" t="s">
        <v>19</v>
      </c>
      <c r="D127" s="309" t="s">
        <v>920</v>
      </c>
      <c r="E127" s="310"/>
      <c r="F127" s="310"/>
      <c r="G127" s="310"/>
      <c r="H127" s="310"/>
    </row>
    <row r="128" spans="1:11" ht="16.5" x14ac:dyDescent="0.25">
      <c r="A128" s="296"/>
      <c r="B128" s="553"/>
      <c r="C128" s="364"/>
      <c r="D128" s="560" t="s">
        <v>921</v>
      </c>
      <c r="E128" s="559">
        <f>SUM(E116+E118+E120+E123)</f>
        <v>6397</v>
      </c>
      <c r="F128" s="559">
        <f>SUM(F116+F118+F120+F123)</f>
        <v>0</v>
      </c>
      <c r="G128" s="559">
        <f>SUM(G116+G118+G120+G123)</f>
        <v>0</v>
      </c>
      <c r="H128" s="559" t="e">
        <f t="shared" si="1"/>
        <v>#DIV/0!</v>
      </c>
      <c r="K128" s="335"/>
    </row>
    <row r="129" spans="1:8" ht="16.5" x14ac:dyDescent="0.25">
      <c r="A129" s="296"/>
      <c r="B129" s="548" t="s">
        <v>20</v>
      </c>
      <c r="C129" s="292"/>
      <c r="D129" s="561" t="s">
        <v>940</v>
      </c>
      <c r="E129" s="428"/>
      <c r="F129" s="428"/>
      <c r="G129" s="428"/>
      <c r="H129" s="428"/>
    </row>
    <row r="130" spans="1:8" ht="16.5" x14ac:dyDescent="0.25">
      <c r="A130" s="547"/>
      <c r="B130" s="548"/>
      <c r="C130" s="291"/>
      <c r="D130" s="581" t="s">
        <v>950</v>
      </c>
      <c r="E130" s="580"/>
      <c r="F130" s="580"/>
      <c r="G130" s="580"/>
      <c r="H130" s="580"/>
    </row>
    <row r="131" spans="1:8" ht="16.5" x14ac:dyDescent="0.25">
      <c r="A131" s="296"/>
      <c r="B131" s="548" t="s">
        <v>5</v>
      </c>
      <c r="C131" s="364"/>
      <c r="D131" s="551" t="s">
        <v>198</v>
      </c>
      <c r="E131" s="567"/>
      <c r="F131" s="567"/>
      <c r="G131" s="567"/>
      <c r="H131" s="567"/>
    </row>
    <row r="132" spans="1:8" ht="16.5" x14ac:dyDescent="0.25">
      <c r="A132" s="296"/>
      <c r="B132" s="553"/>
      <c r="C132" s="291" t="s">
        <v>103</v>
      </c>
      <c r="D132" s="309" t="s">
        <v>887</v>
      </c>
      <c r="E132" s="310">
        <v>340</v>
      </c>
      <c r="F132" s="310"/>
      <c r="G132" s="310"/>
      <c r="H132" s="310" t="e">
        <f t="shared" si="1"/>
        <v>#DIV/0!</v>
      </c>
    </row>
    <row r="133" spans="1:8" ht="16.5" x14ac:dyDescent="0.25">
      <c r="A133" s="296"/>
      <c r="B133" s="553"/>
      <c r="C133" s="291" t="s">
        <v>105</v>
      </c>
      <c r="D133" s="309" t="s">
        <v>888</v>
      </c>
      <c r="E133" s="310"/>
      <c r="F133" s="310"/>
      <c r="G133" s="310"/>
      <c r="H133" s="310"/>
    </row>
    <row r="134" spans="1:8" ht="16.5" x14ac:dyDescent="0.25">
      <c r="A134" s="296"/>
      <c r="B134" s="553"/>
      <c r="C134" s="291" t="s">
        <v>107</v>
      </c>
      <c r="D134" s="309" t="s">
        <v>889</v>
      </c>
      <c r="E134" s="310">
        <f>SUM(E135)</f>
        <v>7759</v>
      </c>
      <c r="F134" s="310">
        <f>SUM(F135)</f>
        <v>0</v>
      </c>
      <c r="G134" s="310">
        <f>SUM(G135)</f>
        <v>0</v>
      </c>
      <c r="H134" s="310" t="e">
        <f t="shared" si="1"/>
        <v>#DIV/0!</v>
      </c>
    </row>
    <row r="135" spans="1:8" ht="16.5" x14ac:dyDescent="0.25">
      <c r="A135" s="554"/>
      <c r="B135" s="555"/>
      <c r="C135" s="316" t="s">
        <v>397</v>
      </c>
      <c r="D135" s="313" t="s">
        <v>890</v>
      </c>
      <c r="E135" s="314">
        <f>SUM(E136+E138+E140)</f>
        <v>7759</v>
      </c>
      <c r="F135" s="314">
        <f>SUM(F136+F138+F140)</f>
        <v>0</v>
      </c>
      <c r="G135" s="314">
        <f>SUM(G136+G138+G140)</f>
        <v>0</v>
      </c>
      <c r="H135" s="314" t="e">
        <f t="shared" si="1"/>
        <v>#DIV/0!</v>
      </c>
    </row>
    <row r="136" spans="1:8" ht="31.5" customHeight="1" x14ac:dyDescent="0.25">
      <c r="A136" s="296"/>
      <c r="B136" s="553"/>
      <c r="C136" s="363" t="s">
        <v>891</v>
      </c>
      <c r="D136" s="1064" t="s">
        <v>1514</v>
      </c>
      <c r="E136" s="310">
        <f>SUM(E137:E137)</f>
        <v>4713</v>
      </c>
      <c r="F136" s="310">
        <f>SUM(F137:F137)</f>
        <v>0</v>
      </c>
      <c r="G136" s="310">
        <f>SUM(G137:G137)</f>
        <v>0</v>
      </c>
      <c r="H136" s="310" t="e">
        <f t="shared" si="1"/>
        <v>#DIV/0!</v>
      </c>
    </row>
    <row r="137" spans="1:8" ht="16.5" x14ac:dyDescent="0.25">
      <c r="A137" s="296"/>
      <c r="B137" s="553"/>
      <c r="C137" s="363" t="s">
        <v>893</v>
      </c>
      <c r="D137" s="557" t="s">
        <v>894</v>
      </c>
      <c r="E137" s="310">
        <v>4713</v>
      </c>
      <c r="F137" s="310"/>
      <c r="G137" s="310"/>
      <c r="H137" s="310" t="e">
        <f t="shared" ref="H137:H180" si="2">G137/F137*100</f>
        <v>#DIV/0!</v>
      </c>
    </row>
    <row r="138" spans="1:8" ht="16.5" hidden="1" x14ac:dyDescent="0.25">
      <c r="A138" s="296"/>
      <c r="B138" s="553"/>
      <c r="C138" s="363" t="s">
        <v>901</v>
      </c>
      <c r="D138" s="556" t="s">
        <v>951</v>
      </c>
      <c r="E138" s="310"/>
      <c r="F138" s="310">
        <f>SUM(F139)</f>
        <v>0</v>
      </c>
      <c r="G138" s="310">
        <f>SUM(G139)</f>
        <v>0</v>
      </c>
      <c r="H138" s="310" t="e">
        <f t="shared" si="2"/>
        <v>#DIV/0!</v>
      </c>
    </row>
    <row r="139" spans="1:8" ht="16.5" hidden="1" x14ac:dyDescent="0.25">
      <c r="A139" s="296"/>
      <c r="B139" s="553"/>
      <c r="C139" s="363" t="s">
        <v>903</v>
      </c>
      <c r="D139" s="557" t="s">
        <v>894</v>
      </c>
      <c r="E139" s="310"/>
      <c r="F139" s="310"/>
      <c r="G139" s="310"/>
      <c r="H139" s="310" t="e">
        <f t="shared" si="2"/>
        <v>#DIV/0!</v>
      </c>
    </row>
    <row r="140" spans="1:8" ht="16.5" x14ac:dyDescent="0.25">
      <c r="A140" s="296"/>
      <c r="B140" s="553"/>
      <c r="C140" s="363" t="s">
        <v>907</v>
      </c>
      <c r="D140" s="556" t="s">
        <v>908</v>
      </c>
      <c r="E140" s="310">
        <f>SUM(E141)</f>
        <v>3046</v>
      </c>
      <c r="F140" s="310">
        <f>SUM(F141)</f>
        <v>0</v>
      </c>
      <c r="G140" s="310">
        <f>SUM(G141)</f>
        <v>0</v>
      </c>
      <c r="H140" s="310" t="e">
        <f t="shared" si="2"/>
        <v>#DIV/0!</v>
      </c>
    </row>
    <row r="141" spans="1:8" ht="16.5" x14ac:dyDescent="0.25">
      <c r="A141" s="296"/>
      <c r="B141" s="553"/>
      <c r="C141" s="363" t="s">
        <v>909</v>
      </c>
      <c r="D141" s="557" t="s">
        <v>894</v>
      </c>
      <c r="E141" s="310">
        <v>3046</v>
      </c>
      <c r="F141" s="310"/>
      <c r="G141" s="310"/>
      <c r="H141" s="310" t="e">
        <f t="shared" si="2"/>
        <v>#DIV/0!</v>
      </c>
    </row>
    <row r="142" spans="1:8" ht="16.5" x14ac:dyDescent="0.25">
      <c r="A142" s="296"/>
      <c r="B142" s="553"/>
      <c r="C142" s="291" t="s">
        <v>109</v>
      </c>
      <c r="D142" s="309" t="s">
        <v>952</v>
      </c>
      <c r="E142" s="310">
        <f>SUM(E143)</f>
        <v>2833</v>
      </c>
      <c r="F142" s="310">
        <f>SUM(F143)</f>
        <v>0</v>
      </c>
      <c r="G142" s="310">
        <f>SUM(G143)</f>
        <v>0</v>
      </c>
      <c r="H142" s="310" t="e">
        <f t="shared" si="2"/>
        <v>#DIV/0!</v>
      </c>
    </row>
    <row r="143" spans="1:8" ht="16.5" x14ac:dyDescent="0.25">
      <c r="A143" s="296"/>
      <c r="B143" s="553"/>
      <c r="C143" s="363" t="s">
        <v>437</v>
      </c>
      <c r="D143" s="557" t="s">
        <v>949</v>
      </c>
      <c r="E143" s="310">
        <v>2833</v>
      </c>
      <c r="F143" s="310"/>
      <c r="G143" s="310"/>
      <c r="H143" s="310" t="e">
        <f t="shared" si="2"/>
        <v>#DIV/0!</v>
      </c>
    </row>
    <row r="144" spans="1:8" ht="16.5" x14ac:dyDescent="0.25">
      <c r="A144" s="296"/>
      <c r="B144" s="553"/>
      <c r="C144" s="363"/>
      <c r="D144" s="309"/>
      <c r="E144" s="310"/>
      <c r="F144" s="310"/>
      <c r="G144" s="310"/>
      <c r="H144" s="310"/>
    </row>
    <row r="145" spans="1:11" ht="16.5" x14ac:dyDescent="0.25">
      <c r="A145" s="296"/>
      <c r="B145" s="553"/>
      <c r="C145" s="363"/>
      <c r="D145" s="558" t="s">
        <v>910</v>
      </c>
      <c r="E145" s="559">
        <f>SUM(E132+E134+E133+E142)</f>
        <v>10932</v>
      </c>
      <c r="F145" s="559">
        <f>SUM(F132+F134+F133+F142)</f>
        <v>0</v>
      </c>
      <c r="G145" s="559">
        <f>SUM(G132+G134+G133+G142)</f>
        <v>0</v>
      </c>
      <c r="H145" s="559" t="e">
        <f t="shared" si="2"/>
        <v>#DIV/0!</v>
      </c>
      <c r="K145" s="335">
        <f>SUM(E161-E145)</f>
        <v>0</v>
      </c>
    </row>
    <row r="146" spans="1:11" ht="16.5" x14ac:dyDescent="0.25">
      <c r="A146" s="296"/>
      <c r="B146" s="548" t="s">
        <v>6</v>
      </c>
      <c r="C146" s="364"/>
      <c r="D146" s="551" t="s">
        <v>199</v>
      </c>
      <c r="E146" s="567"/>
      <c r="F146" s="567"/>
      <c r="G146" s="567"/>
      <c r="H146" s="567"/>
      <c r="I146" s="335"/>
    </row>
    <row r="147" spans="1:11" ht="16.5" x14ac:dyDescent="0.25">
      <c r="A147" s="296"/>
      <c r="B147" s="553"/>
      <c r="C147" s="364" t="s">
        <v>7</v>
      </c>
      <c r="D147" s="309" t="s">
        <v>538</v>
      </c>
      <c r="E147" s="310">
        <f>SUM(E148:E148)</f>
        <v>6006</v>
      </c>
      <c r="F147" s="310">
        <f>SUM(F148:F148)</f>
        <v>0</v>
      </c>
      <c r="G147" s="310">
        <f>SUM(G148:G148)</f>
        <v>0</v>
      </c>
      <c r="H147" s="310" t="e">
        <f t="shared" si="2"/>
        <v>#DIV/0!</v>
      </c>
    </row>
    <row r="148" spans="1:11" ht="16.5" x14ac:dyDescent="0.25">
      <c r="A148" s="296"/>
      <c r="B148" s="553"/>
      <c r="C148" s="364" t="s">
        <v>477</v>
      </c>
      <c r="D148" s="557" t="s">
        <v>944</v>
      </c>
      <c r="E148" s="310">
        <v>6006</v>
      </c>
      <c r="F148" s="310"/>
      <c r="G148" s="310"/>
      <c r="H148" s="310" t="e">
        <f t="shared" si="2"/>
        <v>#DIV/0!</v>
      </c>
    </row>
    <row r="149" spans="1:11" ht="16.5" x14ac:dyDescent="0.25">
      <c r="A149" s="296"/>
      <c r="B149" s="553"/>
      <c r="C149" s="364" t="s">
        <v>503</v>
      </c>
      <c r="D149" s="557" t="s">
        <v>894</v>
      </c>
      <c r="E149" s="310"/>
      <c r="F149" s="310"/>
      <c r="G149" s="310"/>
      <c r="H149" s="310"/>
    </row>
    <row r="150" spans="1:11" ht="16.5" x14ac:dyDescent="0.25">
      <c r="A150" s="296"/>
      <c r="B150" s="553"/>
      <c r="C150" s="364" t="s">
        <v>9</v>
      </c>
      <c r="D150" s="309" t="s">
        <v>539</v>
      </c>
      <c r="E150" s="310">
        <f>SUM(E151:E151)</f>
        <v>1595</v>
      </c>
      <c r="F150" s="310">
        <f>SUM(F151:F151)</f>
        <v>0</v>
      </c>
      <c r="G150" s="310">
        <f>SUM(G151:G151)</f>
        <v>0</v>
      </c>
      <c r="H150" s="310" t="e">
        <f t="shared" si="2"/>
        <v>#DIV/0!</v>
      </c>
    </row>
    <row r="151" spans="1:11" ht="16.5" x14ac:dyDescent="0.25">
      <c r="A151" s="296"/>
      <c r="B151" s="553"/>
      <c r="C151" s="364" t="s">
        <v>507</v>
      </c>
      <c r="D151" s="557" t="s">
        <v>944</v>
      </c>
      <c r="E151" s="310">
        <v>1595</v>
      </c>
      <c r="F151" s="310"/>
      <c r="G151" s="310"/>
      <c r="H151" s="310" t="e">
        <f t="shared" si="2"/>
        <v>#DIV/0!</v>
      </c>
    </row>
    <row r="152" spans="1:11" ht="16.5" x14ac:dyDescent="0.25">
      <c r="A152" s="296"/>
      <c r="B152" s="553"/>
      <c r="C152" s="364" t="s">
        <v>911</v>
      </c>
      <c r="D152" s="557" t="s">
        <v>894</v>
      </c>
      <c r="E152" s="310"/>
      <c r="F152" s="310"/>
      <c r="G152" s="310"/>
      <c r="H152" s="310"/>
    </row>
    <row r="153" spans="1:11" ht="16.5" x14ac:dyDescent="0.25">
      <c r="A153" s="296"/>
      <c r="B153" s="553"/>
      <c r="C153" s="364" t="s">
        <v>11</v>
      </c>
      <c r="D153" s="309" t="s">
        <v>203</v>
      </c>
      <c r="E153" s="310">
        <f>SUM(E154:E155)</f>
        <v>498</v>
      </c>
      <c r="F153" s="310">
        <f>SUM(F154:F155)</f>
        <v>0</v>
      </c>
      <c r="G153" s="310">
        <f>SUM(G154:G155)</f>
        <v>0</v>
      </c>
      <c r="H153" s="310" t="e">
        <f t="shared" si="2"/>
        <v>#DIV/0!</v>
      </c>
    </row>
    <row r="154" spans="1:11" ht="16.5" x14ac:dyDescent="0.25">
      <c r="A154" s="296"/>
      <c r="B154" s="553"/>
      <c r="C154" s="364" t="s">
        <v>509</v>
      </c>
      <c r="D154" s="557" t="s">
        <v>953</v>
      </c>
      <c r="E154" s="310">
        <v>285</v>
      </c>
      <c r="F154" s="310"/>
      <c r="G154" s="310"/>
      <c r="H154" s="310" t="e">
        <f t="shared" si="2"/>
        <v>#DIV/0!</v>
      </c>
    </row>
    <row r="155" spans="1:11" ht="16.5" x14ac:dyDescent="0.25">
      <c r="A155" s="296"/>
      <c r="B155" s="553"/>
      <c r="C155" s="364" t="s">
        <v>760</v>
      </c>
      <c r="D155" s="557" t="s">
        <v>894</v>
      </c>
      <c r="E155" s="310">
        <v>213</v>
      </c>
      <c r="F155" s="310"/>
      <c r="G155" s="310"/>
      <c r="H155" s="310" t="e">
        <f t="shared" si="2"/>
        <v>#DIV/0!</v>
      </c>
    </row>
    <row r="156" spans="1:11" ht="16.5" x14ac:dyDescent="0.25">
      <c r="A156" s="296"/>
      <c r="B156" s="553"/>
      <c r="C156" s="364" t="s">
        <v>11</v>
      </c>
      <c r="D156" s="309" t="s">
        <v>915</v>
      </c>
      <c r="E156" s="310">
        <f>SUM(E157)</f>
        <v>2833</v>
      </c>
      <c r="F156" s="310">
        <f>SUM(F157)</f>
        <v>0</v>
      </c>
      <c r="G156" s="310">
        <f>SUM(G157)</f>
        <v>0</v>
      </c>
      <c r="H156" s="310" t="e">
        <f t="shared" si="2"/>
        <v>#DIV/0!</v>
      </c>
    </row>
    <row r="157" spans="1:11" ht="16.5" x14ac:dyDescent="0.25">
      <c r="A157" s="296"/>
      <c r="B157" s="553"/>
      <c r="C157" s="364" t="s">
        <v>509</v>
      </c>
      <c r="D157" s="557" t="s">
        <v>898</v>
      </c>
      <c r="E157" s="310">
        <v>2833</v>
      </c>
      <c r="F157" s="310"/>
      <c r="G157" s="310"/>
      <c r="H157" s="310" t="e">
        <f t="shared" si="2"/>
        <v>#DIV/0!</v>
      </c>
    </row>
    <row r="158" spans="1:11" ht="16.5" x14ac:dyDescent="0.25">
      <c r="A158" s="296"/>
      <c r="B158" s="553"/>
      <c r="C158" s="364" t="s">
        <v>13</v>
      </c>
      <c r="D158" s="309" t="s">
        <v>918</v>
      </c>
      <c r="E158" s="310"/>
      <c r="F158" s="310"/>
      <c r="G158" s="310"/>
      <c r="H158" s="310"/>
    </row>
    <row r="159" spans="1:11" ht="16.5" x14ac:dyDescent="0.25">
      <c r="A159" s="296"/>
      <c r="B159" s="553"/>
      <c r="C159" s="364" t="s">
        <v>15</v>
      </c>
      <c r="D159" s="309" t="s">
        <v>919</v>
      </c>
      <c r="E159" s="310"/>
      <c r="F159" s="310"/>
      <c r="G159" s="310"/>
      <c r="H159" s="310"/>
    </row>
    <row r="160" spans="1:11" ht="16.5" x14ac:dyDescent="0.25">
      <c r="A160" s="296"/>
      <c r="B160" s="553"/>
      <c r="C160" s="364" t="s">
        <v>17</v>
      </c>
      <c r="D160" s="309" t="s">
        <v>920</v>
      </c>
      <c r="E160" s="310"/>
      <c r="F160" s="310"/>
      <c r="G160" s="310"/>
      <c r="H160" s="310"/>
    </row>
    <row r="161" spans="1:11" ht="16.5" x14ac:dyDescent="0.25">
      <c r="A161" s="296"/>
      <c r="B161" s="553"/>
      <c r="C161" s="364"/>
      <c r="D161" s="560" t="s">
        <v>921</v>
      </c>
      <c r="E161" s="559">
        <f>SUM(E147+E150+E153+E156+E158+E159+E160)</f>
        <v>10932</v>
      </c>
      <c r="F161" s="559">
        <f>SUM(F147+F150+F153+F156+F158+F159+F160)</f>
        <v>0</v>
      </c>
      <c r="G161" s="559">
        <f>SUM(G147+G150+G153+G156+G158+G159+G160)</f>
        <v>0</v>
      </c>
      <c r="H161" s="559" t="e">
        <f t="shared" si="2"/>
        <v>#DIV/0!</v>
      </c>
      <c r="K161" s="335"/>
    </row>
    <row r="162" spans="1:11" ht="16.5" x14ac:dyDescent="0.25">
      <c r="A162" s="296"/>
      <c r="B162" s="548" t="s">
        <v>20</v>
      </c>
      <c r="C162" s="292"/>
      <c r="D162" s="561" t="s">
        <v>940</v>
      </c>
      <c r="E162" s="428"/>
      <c r="F162" s="428"/>
      <c r="G162" s="428"/>
      <c r="H162" s="428"/>
    </row>
    <row r="163" spans="1:11" ht="16.5" x14ac:dyDescent="0.25">
      <c r="A163" s="582"/>
      <c r="B163" s="573"/>
      <c r="C163" s="574"/>
      <c r="D163" s="551" t="s">
        <v>954</v>
      </c>
      <c r="E163" s="583"/>
      <c r="F163" s="583"/>
      <c r="G163" s="583"/>
      <c r="H163" s="583"/>
    </row>
    <row r="164" spans="1:11" ht="16.5" x14ac:dyDescent="0.25">
      <c r="A164" s="547"/>
      <c r="B164" s="548"/>
      <c r="C164" s="292"/>
      <c r="D164" s="576" t="s">
        <v>955</v>
      </c>
      <c r="E164" s="310"/>
      <c r="F164" s="310"/>
      <c r="G164" s="310"/>
      <c r="H164" s="310"/>
    </row>
    <row r="165" spans="1:11" ht="16.5" x14ac:dyDescent="0.25">
      <c r="A165" s="296"/>
      <c r="B165" s="548" t="s">
        <v>5</v>
      </c>
      <c r="C165" s="364"/>
      <c r="D165" s="551" t="s">
        <v>198</v>
      </c>
      <c r="E165" s="567"/>
      <c r="F165" s="567"/>
      <c r="G165" s="567"/>
      <c r="H165" s="567"/>
    </row>
    <row r="166" spans="1:11" ht="16.5" x14ac:dyDescent="0.25">
      <c r="A166" s="296"/>
      <c r="B166" s="553"/>
      <c r="C166" s="291" t="s">
        <v>103</v>
      </c>
      <c r="D166" s="309" t="s">
        <v>887</v>
      </c>
      <c r="E166" s="310">
        <v>3092</v>
      </c>
      <c r="F166" s="310"/>
      <c r="G166" s="310"/>
      <c r="H166" s="310" t="e">
        <f t="shared" si="2"/>
        <v>#DIV/0!</v>
      </c>
    </row>
    <row r="167" spans="1:11" ht="16.5" x14ac:dyDescent="0.25">
      <c r="A167" s="296"/>
      <c r="B167" s="553"/>
      <c r="C167" s="291" t="s">
        <v>105</v>
      </c>
      <c r="D167" s="309" t="s">
        <v>888</v>
      </c>
      <c r="E167" s="310"/>
      <c r="F167" s="310"/>
      <c r="G167" s="310"/>
      <c r="H167" s="310"/>
    </row>
    <row r="168" spans="1:11" ht="16.5" x14ac:dyDescent="0.25">
      <c r="A168" s="296"/>
      <c r="B168" s="553"/>
      <c r="C168" s="291" t="s">
        <v>107</v>
      </c>
      <c r="D168" s="309" t="s">
        <v>889</v>
      </c>
      <c r="E168" s="310">
        <f>SUM(E169)</f>
        <v>11743</v>
      </c>
      <c r="F168" s="310">
        <f>SUM(F169)</f>
        <v>0</v>
      </c>
      <c r="G168" s="310">
        <f>SUM(G169)</f>
        <v>0</v>
      </c>
      <c r="H168" s="310" t="e">
        <f t="shared" si="2"/>
        <v>#DIV/0!</v>
      </c>
    </row>
    <row r="169" spans="1:11" ht="16.5" x14ac:dyDescent="0.25">
      <c r="A169" s="554"/>
      <c r="B169" s="555"/>
      <c r="C169" s="316" t="s">
        <v>397</v>
      </c>
      <c r="D169" s="313" t="s">
        <v>890</v>
      </c>
      <c r="E169" s="314">
        <f>SUM(E170:E171)</f>
        <v>11743</v>
      </c>
      <c r="F169" s="314">
        <f>SUM(F170:F171)</f>
        <v>0</v>
      </c>
      <c r="G169" s="314">
        <f>SUM(G170:G171)</f>
        <v>0</v>
      </c>
      <c r="H169" s="314" t="e">
        <f t="shared" si="2"/>
        <v>#DIV/0!</v>
      </c>
    </row>
    <row r="170" spans="1:11" ht="16.5" x14ac:dyDescent="0.25">
      <c r="A170" s="296"/>
      <c r="B170" s="553"/>
      <c r="C170" s="363" t="s">
        <v>891</v>
      </c>
      <c r="D170" s="309" t="s">
        <v>956</v>
      </c>
      <c r="E170" s="310">
        <v>4429</v>
      </c>
      <c r="F170" s="310"/>
      <c r="G170" s="310"/>
      <c r="H170" s="310" t="e">
        <f t="shared" si="2"/>
        <v>#DIV/0!</v>
      </c>
    </row>
    <row r="171" spans="1:11" ht="16.5" x14ac:dyDescent="0.25">
      <c r="A171" s="296"/>
      <c r="B171" s="553"/>
      <c r="C171" s="363" t="s">
        <v>907</v>
      </c>
      <c r="D171" s="556" t="s">
        <v>908</v>
      </c>
      <c r="E171" s="310">
        <v>7314</v>
      </c>
      <c r="F171" s="310"/>
      <c r="G171" s="310"/>
      <c r="H171" s="310" t="e">
        <f t="shared" si="2"/>
        <v>#DIV/0!</v>
      </c>
      <c r="K171" s="335">
        <f>SUM(E180-E172)</f>
        <v>0</v>
      </c>
    </row>
    <row r="172" spans="1:11" ht="16.5" x14ac:dyDescent="0.25">
      <c r="A172" s="296"/>
      <c r="B172" s="553"/>
      <c r="C172" s="363"/>
      <c r="D172" s="558" t="s">
        <v>910</v>
      </c>
      <c r="E172" s="559">
        <f>SUM(E166:E168)</f>
        <v>14835</v>
      </c>
      <c r="F172" s="559">
        <f>SUM(F166:F168)</f>
        <v>0</v>
      </c>
      <c r="G172" s="559">
        <f>SUM(G166:G168)</f>
        <v>0</v>
      </c>
      <c r="H172" s="559" t="e">
        <f t="shared" si="2"/>
        <v>#DIV/0!</v>
      </c>
    </row>
    <row r="173" spans="1:11" ht="16.5" x14ac:dyDescent="0.25">
      <c r="A173" s="296"/>
      <c r="B173" s="548" t="s">
        <v>6</v>
      </c>
      <c r="C173" s="364"/>
      <c r="D173" s="551" t="s">
        <v>199</v>
      </c>
      <c r="E173" s="567"/>
      <c r="F173" s="567"/>
      <c r="G173" s="567"/>
      <c r="H173" s="567"/>
    </row>
    <row r="174" spans="1:11" ht="16.5" x14ac:dyDescent="0.25">
      <c r="A174" s="296"/>
      <c r="B174" s="553"/>
      <c r="C174" s="364" t="s">
        <v>7</v>
      </c>
      <c r="D174" s="309" t="s">
        <v>538</v>
      </c>
      <c r="E174" s="310">
        <v>4547</v>
      </c>
      <c r="F174" s="310"/>
      <c r="G174" s="310"/>
      <c r="H174" s="310" t="e">
        <f t="shared" si="2"/>
        <v>#DIV/0!</v>
      </c>
    </row>
    <row r="175" spans="1:11" ht="16.5" x14ac:dyDescent="0.25">
      <c r="A175" s="296"/>
      <c r="B175" s="553"/>
      <c r="C175" s="364" t="s">
        <v>9</v>
      </c>
      <c r="D175" s="309" t="s">
        <v>539</v>
      </c>
      <c r="E175" s="310">
        <v>1218</v>
      </c>
      <c r="F175" s="310"/>
      <c r="G175" s="310"/>
      <c r="H175" s="310" t="e">
        <f t="shared" si="2"/>
        <v>#DIV/0!</v>
      </c>
    </row>
    <row r="176" spans="1:11" ht="16.5" x14ac:dyDescent="0.25">
      <c r="A176" s="296"/>
      <c r="B176" s="553"/>
      <c r="C176" s="364" t="s">
        <v>11</v>
      </c>
      <c r="D176" s="309" t="s">
        <v>203</v>
      </c>
      <c r="E176" s="310">
        <v>9070</v>
      </c>
      <c r="F176" s="310"/>
      <c r="G176" s="310"/>
      <c r="H176" s="310" t="e">
        <f t="shared" si="2"/>
        <v>#DIV/0!</v>
      </c>
    </row>
    <row r="177" spans="1:11" ht="16.5" x14ac:dyDescent="0.25">
      <c r="A177" s="296"/>
      <c r="B177" s="553"/>
      <c r="C177" s="364" t="s">
        <v>13</v>
      </c>
      <c r="D177" s="309" t="s">
        <v>918</v>
      </c>
      <c r="E177" s="310"/>
      <c r="F177" s="310"/>
      <c r="G177" s="310"/>
      <c r="H177" s="310"/>
    </row>
    <row r="178" spans="1:11" ht="16.5" x14ac:dyDescent="0.25">
      <c r="A178" s="296"/>
      <c r="B178" s="553"/>
      <c r="C178" s="364" t="s">
        <v>15</v>
      </c>
      <c r="D178" s="309" t="s">
        <v>919</v>
      </c>
      <c r="E178" s="310"/>
      <c r="F178" s="310"/>
      <c r="G178" s="310"/>
      <c r="H178" s="310"/>
    </row>
    <row r="179" spans="1:11" ht="16.5" x14ac:dyDescent="0.25">
      <c r="A179" s="296"/>
      <c r="B179" s="553"/>
      <c r="C179" s="364" t="s">
        <v>17</v>
      </c>
      <c r="D179" s="309" t="s">
        <v>920</v>
      </c>
      <c r="E179" s="310"/>
      <c r="F179" s="310"/>
      <c r="G179" s="310"/>
      <c r="H179" s="310"/>
    </row>
    <row r="180" spans="1:11" ht="16.5" x14ac:dyDescent="0.25">
      <c r="A180" s="296"/>
      <c r="B180" s="553"/>
      <c r="C180" s="364"/>
      <c r="D180" s="560" t="s">
        <v>921</v>
      </c>
      <c r="E180" s="559">
        <f>SUM(E174,E175,E176,E177,E178,E179)</f>
        <v>14835</v>
      </c>
      <c r="F180" s="559">
        <f>SUM(F174,F175,F176,F177,F178,F179)</f>
        <v>0</v>
      </c>
      <c r="G180" s="559">
        <f>SUM(G174,G175,G176,G177,G178,G179)</f>
        <v>0</v>
      </c>
      <c r="H180" s="559" t="e">
        <f t="shared" si="2"/>
        <v>#DIV/0!</v>
      </c>
      <c r="K180" s="335"/>
    </row>
    <row r="181" spans="1:11" ht="16.5" x14ac:dyDescent="0.25">
      <c r="A181" s="296"/>
      <c r="B181" s="548" t="s">
        <v>20</v>
      </c>
      <c r="C181" s="292"/>
      <c r="D181" s="561" t="s">
        <v>940</v>
      </c>
      <c r="E181" s="428">
        <v>3</v>
      </c>
      <c r="F181" s="428"/>
      <c r="G181" s="428"/>
      <c r="H181" s="428"/>
    </row>
  </sheetData>
  <sheetProtection selectLockedCells="1" selectUnlockedCells="1"/>
  <mergeCells count="3">
    <mergeCell ref="A1:C1"/>
    <mergeCell ref="D2:H2"/>
    <mergeCell ref="D3:E3"/>
  </mergeCells>
  <printOptions horizontalCentered="1"/>
  <pageMargins left="0" right="0" top="1.1417322834645669" bottom="0.39370078740157483" header="0.35433070866141736" footer="0.11811023622047245"/>
  <pageSetup paperSize="9" firstPageNumber="84" orientation="portrait" useFirstPageNumber="1" r:id="rId1"/>
  <headerFooter alignWithMargins="0">
    <oddHeader>&amp;C&amp;"Times New Roman,Félkövér"&amp;14
Tájékoztató a Mikró Kistérségi Társulás intézményeinek 
adatairól Vecsés vonatkozásában&amp;R&amp;"Times New Roman,Normál"&amp;12 5.10.1. sz. melléklet
Ezer Ft</oddHeader>
    <oddFooter>&amp;C- &amp;P -</oddFooter>
  </headerFooter>
  <rowBreaks count="3" manualBreakCount="3">
    <brk id="89" max="16383" man="1"/>
    <brk id="129" max="16383" man="1"/>
    <brk id="162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4" zoomScaleNormal="140" zoomScaleSheetLayoutView="100" workbookViewId="0">
      <selection activeCell="C17" sqref="C17:C19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1.6640625" style="162" customWidth="1"/>
    <col min="4" max="4" width="17.5" style="162" bestFit="1" customWidth="1"/>
    <col min="5" max="5" width="13.83203125" style="162" hidden="1" customWidth="1"/>
    <col min="6" max="6" width="12" style="162" hidden="1" customWidth="1"/>
    <col min="7" max="7" width="9.1640625" style="162" hidden="1" customWidth="1"/>
    <col min="8" max="16384" width="9.33203125" style="162"/>
  </cols>
  <sheetData>
    <row r="1" spans="1:7" s="536" customFormat="1" ht="15" customHeight="1" thickBot="1" x14ac:dyDescent="0.25">
      <c r="A1" s="446"/>
      <c r="B1" s="447"/>
      <c r="C1" s="448"/>
      <c r="D1" s="1609" t="s">
        <v>1614</v>
      </c>
      <c r="E1" s="1609"/>
      <c r="F1" s="1609"/>
      <c r="G1" s="1609"/>
    </row>
    <row r="2" spans="1:7" s="537" customFormat="1" ht="30" customHeight="1" thickBot="1" x14ac:dyDescent="0.25">
      <c r="A2" s="1573" t="s">
        <v>796</v>
      </c>
      <c r="B2" s="1573"/>
      <c r="C2" s="163" t="s">
        <v>957</v>
      </c>
      <c r="D2" s="1615" t="s">
        <v>1481</v>
      </c>
      <c r="E2" s="469"/>
      <c r="F2" s="469"/>
      <c r="G2" s="469"/>
    </row>
    <row r="3" spans="1:7" s="537" customFormat="1" ht="30" customHeight="1" thickBot="1" x14ac:dyDescent="0.25">
      <c r="A3" s="1573" t="s">
        <v>264</v>
      </c>
      <c r="B3" s="1573"/>
      <c r="C3" s="166" t="s">
        <v>958</v>
      </c>
      <c r="D3" s="1616"/>
      <c r="E3" s="450"/>
      <c r="F3" s="450"/>
      <c r="G3" s="450"/>
    </row>
    <row r="4" spans="1:7" s="537" customFormat="1" ht="15" customHeight="1" thickBot="1" x14ac:dyDescent="0.3">
      <c r="A4" s="167"/>
      <c r="B4" s="167"/>
      <c r="C4" s="568"/>
      <c r="D4" s="1590" t="s">
        <v>1482</v>
      </c>
      <c r="E4" s="1590"/>
      <c r="F4" s="1590"/>
      <c r="G4" s="168" t="s">
        <v>196</v>
      </c>
    </row>
    <row r="5" spans="1:7" s="187" customFormat="1" ht="32.2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538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538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19150</v>
      </c>
      <c r="E8" s="254">
        <f>SUM(E9:E16)</f>
        <v>0</v>
      </c>
      <c r="F8" s="254" t="e">
        <f>SUM(F9:F16)</f>
        <v>#REF!</v>
      </c>
      <c r="G8" s="254" t="e">
        <f>F8/E8*100</f>
        <v>#REF!</v>
      </c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>
        <v>0</v>
      </c>
      <c r="E9" s="257">
        <v>0</v>
      </c>
      <c r="F9" s="257">
        <v>0</v>
      </c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>
        <f>SUM('5.11.1. sz. mell.'!R90)</f>
        <v>19150</v>
      </c>
      <c r="E10" s="255">
        <f>SUM('5.11.1. sz. mell.'!S90)</f>
        <v>0</v>
      </c>
      <c r="F10" s="255" t="e">
        <f>SUM('5.11.1. sz. mell.'!T90)</f>
        <v>#REF!</v>
      </c>
      <c r="G10" s="255" t="e">
        <f>F10/E10*100</f>
        <v>#REF!</v>
      </c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>
        <v>0</v>
      </c>
      <c r="E11" s="255">
        <v>0</v>
      </c>
      <c r="F11" s="255">
        <v>0</v>
      </c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>
        <v>0</v>
      </c>
      <c r="E12" s="255">
        <v>0</v>
      </c>
      <c r="F12" s="255">
        <v>0</v>
      </c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>
        <v>0</v>
      </c>
      <c r="E13" s="255">
        <v>0</v>
      </c>
      <c r="F13" s="255">
        <v>0</v>
      </c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>
        <v>0</v>
      </c>
      <c r="E14" s="256">
        <v>0</v>
      </c>
      <c r="F14" s="256">
        <v>0</v>
      </c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>
        <v>0</v>
      </c>
      <c r="E15" s="255">
        <v>0</v>
      </c>
      <c r="F15" s="255">
        <v>0</v>
      </c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>
        <v>0</v>
      </c>
      <c r="E16" s="258">
        <v>0</v>
      </c>
      <c r="F16" s="258">
        <v>0</v>
      </c>
      <c r="G16" s="258"/>
    </row>
    <row r="17" spans="1:7" s="183" customFormat="1" ht="15" customHeight="1" x14ac:dyDescent="0.2">
      <c r="A17" s="180" t="s">
        <v>6</v>
      </c>
      <c r="B17" s="181"/>
      <c r="C17" s="222" t="s">
        <v>1963</v>
      </c>
      <c r="D17" s="254">
        <f>SUM(D18:D21)</f>
        <v>442256</v>
      </c>
      <c r="E17" s="254">
        <f>SUM(E18:E21)</f>
        <v>0</v>
      </c>
      <c r="F17" s="254" t="e">
        <f>SUM(F18:F21)</f>
        <v>#REF!</v>
      </c>
      <c r="G17" s="254" t="e">
        <f>F17/E17*100</f>
        <v>#REF!</v>
      </c>
    </row>
    <row r="18" spans="1:7" s="187" customFormat="1" ht="15" customHeight="1" x14ac:dyDescent="0.2">
      <c r="A18" s="184"/>
      <c r="B18" s="185" t="s">
        <v>7</v>
      </c>
      <c r="C18" s="27" t="s">
        <v>1964</v>
      </c>
      <c r="D18" s="255">
        <f>SUM('5.11.1. sz. mell.'!R95)</f>
        <v>442256</v>
      </c>
      <c r="E18" s="255">
        <f>SUM('5.11.1. sz. mell.'!S95)</f>
        <v>0</v>
      </c>
      <c r="F18" s="255" t="e">
        <f>SUM('5.11.1. sz. mell.'!T95)</f>
        <v>#REF!</v>
      </c>
      <c r="G18" s="255" t="e">
        <f>F18/E18*100</f>
        <v>#REF!</v>
      </c>
    </row>
    <row r="19" spans="1:7" s="187" customFormat="1" ht="15" customHeight="1" x14ac:dyDescent="0.2">
      <c r="A19" s="184"/>
      <c r="B19" s="185" t="s">
        <v>9</v>
      </c>
      <c r="C19" s="15" t="s">
        <v>1965</v>
      </c>
      <c r="D19" s="255">
        <v>0</v>
      </c>
      <c r="E19" s="255">
        <f>'5.11.1. sz. mell.'!S97</f>
        <v>0</v>
      </c>
      <c r="F19" s="255" t="e">
        <f>'5.11.1. sz. mell.'!T97+'5.11.1. sz. mell.'!T100</f>
        <v>#REF!</v>
      </c>
      <c r="G19" s="255" t="e">
        <f>F19/E19*100</f>
        <v>#REF!</v>
      </c>
    </row>
    <row r="20" spans="1:7" s="187" customFormat="1" ht="15" customHeight="1" x14ac:dyDescent="0.2">
      <c r="A20" s="184"/>
      <c r="B20" s="185" t="s">
        <v>11</v>
      </c>
      <c r="C20" s="15" t="s">
        <v>802</v>
      </c>
      <c r="D20" s="255">
        <v>0</v>
      </c>
      <c r="E20" s="255">
        <v>0</v>
      </c>
      <c r="F20" s="255">
        <v>0</v>
      </c>
      <c r="G20" s="255"/>
    </row>
    <row r="21" spans="1:7" s="187" customFormat="1" ht="15" customHeight="1" x14ac:dyDescent="0.2">
      <c r="A21" s="184"/>
      <c r="B21" s="185" t="s">
        <v>13</v>
      </c>
      <c r="C21" s="15" t="s">
        <v>803</v>
      </c>
      <c r="D21" s="255">
        <v>0</v>
      </c>
      <c r="E21" s="255">
        <f>'5.11.1. sz. mell.'!S92</f>
        <v>0</v>
      </c>
      <c r="F21" s="255" t="e">
        <f>'5.11.1. sz. mell.'!T92</f>
        <v>#REF!</v>
      </c>
      <c r="G21" s="255"/>
    </row>
    <row r="22" spans="1:7" s="187" customFormat="1" ht="15" customHeight="1" x14ac:dyDescent="0.2">
      <c r="A22" s="180" t="s">
        <v>20</v>
      </c>
      <c r="B22" s="12"/>
      <c r="C22" s="12" t="s">
        <v>804</v>
      </c>
      <c r="D22" s="220">
        <v>0</v>
      </c>
      <c r="E22" s="220">
        <f>'5.11.1. sz. mell.'!S91</f>
        <v>0</v>
      </c>
      <c r="F22" s="220" t="e">
        <f>'5.11.1. sz. mell.'!T91</f>
        <v>#REF!</v>
      </c>
      <c r="G22" s="220" t="e">
        <f>F22/E22*100</f>
        <v>#REF!</v>
      </c>
    </row>
    <row r="23" spans="1:7" s="183" customFormat="1" ht="15" customHeight="1" x14ac:dyDescent="0.2">
      <c r="A23" s="180" t="s">
        <v>150</v>
      </c>
      <c r="B23" s="181"/>
      <c r="C23" s="12" t="s">
        <v>846</v>
      </c>
      <c r="D23" s="220">
        <v>0</v>
      </c>
      <c r="E23" s="220">
        <v>0</v>
      </c>
      <c r="F23" s="220">
        <v>0</v>
      </c>
      <c r="G23" s="220"/>
    </row>
    <row r="24" spans="1:7" s="183" customFormat="1" ht="15" customHeight="1" x14ac:dyDescent="0.2">
      <c r="A24" s="180" t="s">
        <v>39</v>
      </c>
      <c r="B24" s="209"/>
      <c r="C24" s="12" t="s">
        <v>847</v>
      </c>
      <c r="D24" s="266">
        <f>+D25+D26</f>
        <v>0</v>
      </c>
      <c r="E24" s="266">
        <f>+E25+E26</f>
        <v>0</v>
      </c>
      <c r="F24" s="266" t="e">
        <f>+F25+F26</f>
        <v>#REF!</v>
      </c>
      <c r="G24" s="266" t="e">
        <f>F24/E24*100</f>
        <v>#REF!</v>
      </c>
    </row>
    <row r="25" spans="1:7" s="183" customFormat="1" ht="15" customHeight="1" x14ac:dyDescent="0.2">
      <c r="A25" s="192"/>
      <c r="B25" s="199" t="s">
        <v>40</v>
      </c>
      <c r="C25" s="19" t="s">
        <v>808</v>
      </c>
      <c r="D25" s="267">
        <v>0</v>
      </c>
      <c r="E25" s="267">
        <f>'5.11.1. sz. mell.'!S99</f>
        <v>0</v>
      </c>
      <c r="F25" s="267" t="e">
        <f>'5.11.1. sz. mell.'!T99</f>
        <v>#REF!</v>
      </c>
      <c r="G25" s="267" t="e">
        <f>F25/E25*100</f>
        <v>#REF!</v>
      </c>
    </row>
    <row r="26" spans="1:7" s="183" customFormat="1" ht="15" customHeight="1" x14ac:dyDescent="0.2">
      <c r="A26" s="202"/>
      <c r="B26" s="203" t="s">
        <v>41</v>
      </c>
      <c r="C26" s="24" t="s">
        <v>809</v>
      </c>
      <c r="D26" s="261">
        <v>0</v>
      </c>
      <c r="E26" s="261">
        <v>0</v>
      </c>
      <c r="F26" s="261">
        <v>0</v>
      </c>
      <c r="G26" s="261"/>
    </row>
    <row r="27" spans="1:7" s="187" customFormat="1" ht="15" customHeight="1" x14ac:dyDescent="0.25">
      <c r="A27" s="212" t="s">
        <v>49</v>
      </c>
      <c r="B27" s="213"/>
      <c r="C27" s="12" t="s">
        <v>848</v>
      </c>
      <c r="D27" s="220">
        <f>SUM('5.11.1. sz. mell.'!R96)</f>
        <v>82049</v>
      </c>
      <c r="E27" s="220">
        <f>SUM('5.11.1. sz. mell.'!S96)</f>
        <v>0</v>
      </c>
      <c r="F27" s="220" t="e">
        <f>SUM('5.11.1. sz. mell.'!T96)</f>
        <v>#REF!</v>
      </c>
      <c r="G27" s="220" t="e">
        <f>F27/E27*100</f>
        <v>#REF!</v>
      </c>
    </row>
    <row r="28" spans="1:7" s="187" customFormat="1" ht="15" customHeight="1" x14ac:dyDescent="0.25">
      <c r="A28" s="212"/>
      <c r="B28" s="213"/>
      <c r="C28" s="12" t="s">
        <v>849</v>
      </c>
      <c r="D28" s="220"/>
      <c r="E28" s="220"/>
      <c r="F28" s="220" t="e">
        <f>'5.11.1. sz. mell.'!T98</f>
        <v>#REF!</v>
      </c>
      <c r="G28" s="220"/>
    </row>
    <row r="29" spans="1:7" s="187" customFormat="1" ht="15" customHeight="1" x14ac:dyDescent="0.2">
      <c r="A29" s="268" t="s">
        <v>179</v>
      </c>
      <c r="B29" s="269"/>
      <c r="C29" s="480" t="s">
        <v>850</v>
      </c>
      <c r="D29" s="270">
        <f>SUM(D8,D17,D22,D23,D24,D27)</f>
        <v>543455</v>
      </c>
      <c r="E29" s="270">
        <f>SUM(E8,E17,E22,E23,E24,E27,E28)</f>
        <v>0</v>
      </c>
      <c r="F29" s="270" t="e">
        <f>SUM(F8,F17,F22,F23,F24,F27,F28)</f>
        <v>#REF!</v>
      </c>
      <c r="G29" s="270" t="e">
        <f>F29/E29*100</f>
        <v>#REF!</v>
      </c>
    </row>
    <row r="30" spans="1:7" s="187" customFormat="1" ht="15" customHeight="1" x14ac:dyDescent="0.2">
      <c r="A30" s="462"/>
      <c r="B30" s="462"/>
      <c r="C30" s="481"/>
      <c r="D30" s="514"/>
      <c r="E30" s="514"/>
      <c r="F30" s="514"/>
      <c r="G30" s="514"/>
    </row>
    <row r="31" spans="1:7" s="538" customFormat="1" ht="15" customHeight="1" x14ac:dyDescent="0.2">
      <c r="A31" s="268"/>
      <c r="B31" s="269"/>
      <c r="C31" s="513" t="s">
        <v>199</v>
      </c>
      <c r="D31" s="270"/>
      <c r="E31" s="270"/>
      <c r="F31" s="270"/>
      <c r="G31" s="270"/>
    </row>
    <row r="32" spans="1:7" s="183" customFormat="1" ht="15" customHeight="1" x14ac:dyDescent="0.2">
      <c r="A32" s="180" t="s">
        <v>5</v>
      </c>
      <c r="B32" s="12"/>
      <c r="C32" s="67" t="s">
        <v>102</v>
      </c>
      <c r="D32" s="254">
        <f>SUM(D33:D37)</f>
        <v>543455</v>
      </c>
      <c r="E32" s="254">
        <f>SUM(E33:E37)</f>
        <v>0</v>
      </c>
      <c r="F32" s="254" t="e">
        <f>SUM(F33:F37)</f>
        <v>#REF!</v>
      </c>
      <c r="G32" s="254" t="e">
        <f>F32/E32*100</f>
        <v>#REF!</v>
      </c>
    </row>
    <row r="33" spans="1:7" s="187" customFormat="1" ht="15" customHeight="1" x14ac:dyDescent="0.2">
      <c r="A33" s="204"/>
      <c r="B33" s="231" t="s">
        <v>103</v>
      </c>
      <c r="C33" s="27" t="s">
        <v>104</v>
      </c>
      <c r="D33" s="262">
        <f>SUM('5.11.1. sz. mell.'!R103)</f>
        <v>168529</v>
      </c>
      <c r="E33" s="262">
        <f>SUM('5.11.1. sz. mell.'!S103)</f>
        <v>0</v>
      </c>
      <c r="F33" s="262" t="e">
        <f>SUM('5.11.1. sz. mell.'!T103)</f>
        <v>#REF!</v>
      </c>
      <c r="G33" s="262" t="e">
        <f>F33/E33*100</f>
        <v>#REF!</v>
      </c>
    </row>
    <row r="34" spans="1:7" s="187" customFormat="1" ht="15" customHeight="1" x14ac:dyDescent="0.2">
      <c r="A34" s="184"/>
      <c r="B34" s="200" t="s">
        <v>105</v>
      </c>
      <c r="C34" s="15" t="s">
        <v>106</v>
      </c>
      <c r="D34" s="255">
        <f>SUM('5.11.1. sz. mell.'!R104)</f>
        <v>49730</v>
      </c>
      <c r="E34" s="255">
        <f>SUM('5.11.1. sz. mell.'!S104)</f>
        <v>0</v>
      </c>
      <c r="F34" s="255" t="e">
        <f>SUM('5.11.1. sz. mell.'!T104)</f>
        <v>#REF!</v>
      </c>
      <c r="G34" s="255" t="e">
        <f>F34/E34*100</f>
        <v>#REF!</v>
      </c>
    </row>
    <row r="35" spans="1:7" s="187" customFormat="1" ht="15" customHeight="1" x14ac:dyDescent="0.2">
      <c r="A35" s="184"/>
      <c r="B35" s="200" t="s">
        <v>107</v>
      </c>
      <c r="C35" s="15" t="s">
        <v>108</v>
      </c>
      <c r="D35" s="255">
        <f>SUM('5.11.1. sz. mell.'!R105)</f>
        <v>325196</v>
      </c>
      <c r="E35" s="255">
        <f>SUM('5.11.1. sz. mell.'!S105)</f>
        <v>0</v>
      </c>
      <c r="F35" s="255" t="e">
        <f>SUM('5.11.1. sz. mell.'!T105)</f>
        <v>#REF!</v>
      </c>
      <c r="G35" s="255" t="e">
        <f>F35/E35*100</f>
        <v>#REF!</v>
      </c>
    </row>
    <row r="36" spans="1:7" s="187" customFormat="1" ht="15" customHeight="1" x14ac:dyDescent="0.2">
      <c r="A36" s="184"/>
      <c r="B36" s="200" t="s">
        <v>109</v>
      </c>
      <c r="C36" s="15" t="s">
        <v>110</v>
      </c>
      <c r="D36" s="255">
        <v>0</v>
      </c>
      <c r="E36" s="255">
        <v>0</v>
      </c>
      <c r="F36" s="255">
        <v>0</v>
      </c>
      <c r="G36" s="255"/>
    </row>
    <row r="37" spans="1:7" s="187" customFormat="1" ht="15" customHeight="1" x14ac:dyDescent="0.2">
      <c r="A37" s="184"/>
      <c r="B37" s="200" t="s">
        <v>111</v>
      </c>
      <c r="C37" s="15" t="s">
        <v>112</v>
      </c>
      <c r="D37" s="255">
        <v>0</v>
      </c>
      <c r="E37" s="255">
        <v>0</v>
      </c>
      <c r="F37" s="255">
        <v>0</v>
      </c>
      <c r="G37" s="255"/>
    </row>
    <row r="38" spans="1:7" s="187" customFormat="1" ht="15" customHeight="1" x14ac:dyDescent="0.2">
      <c r="A38" s="180" t="s">
        <v>6</v>
      </c>
      <c r="B38" s="12"/>
      <c r="C38" s="67" t="s">
        <v>823</v>
      </c>
      <c r="D38" s="254">
        <f>SUM(D39:D42)</f>
        <v>0</v>
      </c>
      <c r="E38" s="254">
        <f>SUM(E39:E42)</f>
        <v>0</v>
      </c>
      <c r="F38" s="254" t="e">
        <f>SUM(F39:F42)</f>
        <v>#REF!</v>
      </c>
      <c r="G38" s="254" t="e">
        <f>F38/E38*100</f>
        <v>#REF!</v>
      </c>
    </row>
    <row r="39" spans="1:7" s="183" customFormat="1" ht="15" customHeight="1" x14ac:dyDescent="0.2">
      <c r="A39" s="204"/>
      <c r="B39" s="231" t="s">
        <v>7</v>
      </c>
      <c r="C39" s="27" t="s">
        <v>816</v>
      </c>
      <c r="D39" s="262">
        <v>0</v>
      </c>
      <c r="E39" s="262">
        <f>'5.11.1. sz. mell.'!S107</f>
        <v>0</v>
      </c>
      <c r="F39" s="262" t="e">
        <f>'5.11.1. sz. mell.'!T107</f>
        <v>#REF!</v>
      </c>
      <c r="G39" s="262" t="e">
        <f>F39/E39*100</f>
        <v>#REF!</v>
      </c>
    </row>
    <row r="40" spans="1:7" s="187" customFormat="1" ht="15" customHeight="1" x14ac:dyDescent="0.2">
      <c r="A40" s="184"/>
      <c r="B40" s="200" t="s">
        <v>9</v>
      </c>
      <c r="C40" s="15" t="s">
        <v>135</v>
      </c>
      <c r="D40" s="255">
        <v>0</v>
      </c>
      <c r="E40" s="255">
        <f>'5.11.1. sz. mell.'!S106</f>
        <v>0</v>
      </c>
      <c r="F40" s="255" t="e">
        <f>'5.11.1. sz. mell.'!T106</f>
        <v>#REF!</v>
      </c>
      <c r="G40" s="255" t="e">
        <f>F40/E40*100</f>
        <v>#REF!</v>
      </c>
    </row>
    <row r="41" spans="1:7" s="187" customFormat="1" ht="29.25" customHeight="1" x14ac:dyDescent="0.2">
      <c r="A41" s="184"/>
      <c r="B41" s="200" t="s">
        <v>15</v>
      </c>
      <c r="C41" s="15" t="s">
        <v>138</v>
      </c>
      <c r="D41" s="255">
        <v>0</v>
      </c>
      <c r="E41" s="255">
        <v>0</v>
      </c>
      <c r="F41" s="255">
        <v>0</v>
      </c>
      <c r="G41" s="255"/>
    </row>
    <row r="42" spans="1:7" s="187" customFormat="1" ht="15" customHeight="1" x14ac:dyDescent="0.2">
      <c r="A42" s="184"/>
      <c r="B42" s="200" t="s">
        <v>19</v>
      </c>
      <c r="C42" s="15" t="s">
        <v>817</v>
      </c>
      <c r="D42" s="255">
        <v>0</v>
      </c>
      <c r="E42" s="255">
        <v>0</v>
      </c>
      <c r="F42" s="255">
        <v>0</v>
      </c>
      <c r="G42" s="255"/>
    </row>
    <row r="43" spans="1:7" s="187" customFormat="1" ht="15" customHeight="1" x14ac:dyDescent="0.2">
      <c r="A43" s="180" t="s">
        <v>20</v>
      </c>
      <c r="B43" s="12"/>
      <c r="C43" s="67" t="s">
        <v>818</v>
      </c>
      <c r="D43" s="220">
        <v>0</v>
      </c>
      <c r="E43" s="220">
        <v>0</v>
      </c>
      <c r="F43" s="220">
        <v>0</v>
      </c>
      <c r="G43" s="220"/>
    </row>
    <row r="44" spans="1:7" s="187" customFormat="1" ht="15" customHeight="1" x14ac:dyDescent="0.2">
      <c r="A44" s="180"/>
      <c r="B44" s="12"/>
      <c r="C44" s="67" t="s">
        <v>819</v>
      </c>
      <c r="D44" s="220"/>
      <c r="E44" s="220"/>
      <c r="F44" s="220" t="e">
        <f>'5.11.1. sz. mell.'!T108</f>
        <v>#REF!</v>
      </c>
      <c r="G44" s="220"/>
    </row>
    <row r="45" spans="1:7" s="187" customFormat="1" ht="15" customHeight="1" x14ac:dyDescent="0.2">
      <c r="A45" s="268" t="s">
        <v>150</v>
      </c>
      <c r="B45" s="269"/>
      <c r="C45" s="480" t="s">
        <v>820</v>
      </c>
      <c r="D45" s="270">
        <f>+D32+D38+D43</f>
        <v>543455</v>
      </c>
      <c r="E45" s="270">
        <f>+E32+E38+E43+E44</f>
        <v>0</v>
      </c>
      <c r="F45" s="270" t="e">
        <f>+F32+F38+F43+F44</f>
        <v>#REF!</v>
      </c>
      <c r="G45" s="270" t="e">
        <f>F45/E45*100</f>
        <v>#REF!</v>
      </c>
    </row>
    <row r="46" spans="1:7" s="187" customFormat="1" ht="15" customHeight="1" x14ac:dyDescent="0.2">
      <c r="A46" s="242"/>
      <c r="B46" s="243"/>
      <c r="C46" s="243"/>
      <c r="D46" s="243"/>
      <c r="E46" s="243"/>
      <c r="F46" s="243"/>
      <c r="G46" s="243"/>
    </row>
    <row r="47" spans="1:7" s="187" customFormat="1" ht="15" customHeight="1" x14ac:dyDescent="0.2">
      <c r="A47" s="244" t="s">
        <v>297</v>
      </c>
      <c r="B47" s="245"/>
      <c r="C47" s="246"/>
      <c r="D47" s="247">
        <f>SUM('5.11.1. sz. mell.'!I166)</f>
        <v>73</v>
      </c>
      <c r="E47" s="247"/>
      <c r="F47" s="247"/>
      <c r="G47" s="247"/>
    </row>
    <row r="48" spans="1:7" s="187" customFormat="1" ht="15" customHeight="1" x14ac:dyDescent="0.2">
      <c r="A48" s="244" t="s">
        <v>298</v>
      </c>
      <c r="B48" s="245"/>
      <c r="C48" s="246"/>
      <c r="D48" s="482"/>
      <c r="E48" s="482"/>
      <c r="F48" s="482"/>
      <c r="G48" s="482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19685039370078741" right="0.23622047244094491" top="0.35433070866141736" bottom="0.39370078740157483" header="0.19685039370078741" footer="0.15748031496062992"/>
  <pageSetup paperSize="9" firstPageNumber="88" orientation="portrait" useFirstPageNumber="1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2"/>
  <sheetViews>
    <sheetView view="pageBreakPreview" topLeftCell="A108" zoomScale="110" zoomScaleSheetLayoutView="110" workbookViewId="0">
      <selection activeCell="I167" sqref="I167"/>
    </sheetView>
  </sheetViews>
  <sheetFormatPr defaultRowHeight="14.25" x14ac:dyDescent="0.2"/>
  <cols>
    <col min="1" max="1" width="2.5" style="286" customWidth="1"/>
    <col min="2" max="2" width="3" style="286" customWidth="1"/>
    <col min="3" max="3" width="6.83203125" style="540" customWidth="1"/>
    <col min="4" max="4" width="51.83203125" style="286" customWidth="1"/>
    <col min="5" max="8" width="0" style="335" hidden="1" customWidth="1"/>
    <col min="9" max="9" width="14" style="335" customWidth="1"/>
    <col min="10" max="10" width="14" style="335" hidden="1" customWidth="1"/>
    <col min="11" max="11" width="10.83203125" style="335" hidden="1" customWidth="1"/>
    <col min="12" max="12" width="43.83203125" style="286" customWidth="1"/>
    <col min="13" max="17" width="9.33203125" style="286" hidden="1" customWidth="1"/>
    <col min="18" max="18" width="13" style="286" customWidth="1"/>
    <col min="19" max="19" width="12.33203125" style="286" hidden="1" customWidth="1"/>
    <col min="20" max="20" width="14.33203125" style="286" hidden="1" customWidth="1"/>
    <col min="21" max="23" width="9.33203125" style="286"/>
    <col min="24" max="24" width="9.33203125" style="584"/>
    <col min="25" max="16384" width="9.33203125" style="286"/>
  </cols>
  <sheetData>
    <row r="1" spans="1:24" ht="43.5" customHeight="1" x14ac:dyDescent="0.2">
      <c r="A1" s="1593" t="s">
        <v>326</v>
      </c>
      <c r="B1" s="1593"/>
      <c r="C1" s="1593"/>
      <c r="D1" s="288" t="s">
        <v>959</v>
      </c>
      <c r="E1" s="570" t="s">
        <v>960</v>
      </c>
      <c r="F1" s="570" t="s">
        <v>961</v>
      </c>
      <c r="G1" s="570" t="s">
        <v>962</v>
      </c>
      <c r="H1" s="570" t="s">
        <v>963</v>
      </c>
      <c r="I1" s="570" t="s">
        <v>1479</v>
      </c>
      <c r="J1" s="570" t="s">
        <v>1479</v>
      </c>
      <c r="K1" s="570"/>
    </row>
    <row r="2" spans="1:24" ht="18" customHeight="1" x14ac:dyDescent="0.25">
      <c r="A2" s="542" t="s">
        <v>965</v>
      </c>
      <c r="B2" s="543"/>
      <c r="C2" s="544"/>
      <c r="D2" s="1621" t="s">
        <v>957</v>
      </c>
      <c r="E2" s="1621"/>
      <c r="F2" s="1621"/>
      <c r="G2" s="1621"/>
      <c r="H2" s="1621"/>
      <c r="I2" s="545"/>
      <c r="J2" s="545"/>
      <c r="K2" s="545"/>
    </row>
    <row r="3" spans="1:24" ht="17.25" x14ac:dyDescent="0.3">
      <c r="A3" s="547"/>
      <c r="B3" s="548"/>
      <c r="C3" s="291"/>
      <c r="D3" s="585" t="s">
        <v>966</v>
      </c>
      <c r="E3" s="585"/>
      <c r="F3" s="585"/>
      <c r="G3" s="585"/>
      <c r="H3" s="585"/>
      <c r="I3" s="586"/>
      <c r="J3" s="586"/>
      <c r="K3" s="586"/>
    </row>
    <row r="4" spans="1:24" ht="16.5" customHeight="1" x14ac:dyDescent="0.25">
      <c r="A4" s="296"/>
      <c r="B4" s="548" t="s">
        <v>5</v>
      </c>
      <c r="C4" s="363"/>
      <c r="D4" s="1622" t="s">
        <v>198</v>
      </c>
      <c r="E4" s="1622"/>
      <c r="F4" s="1622"/>
      <c r="G4" s="1622"/>
      <c r="H4" s="1622"/>
      <c r="I4" s="310"/>
      <c r="J4" s="310"/>
      <c r="K4" s="310"/>
    </row>
    <row r="5" spans="1:24" ht="16.5" x14ac:dyDescent="0.25">
      <c r="A5" s="296"/>
      <c r="B5" s="553"/>
      <c r="C5" s="291" t="s">
        <v>103</v>
      </c>
      <c r="D5" s="309" t="s">
        <v>887</v>
      </c>
      <c r="E5" s="310">
        <f>SUM(E6:E9)</f>
        <v>8168</v>
      </c>
      <c r="F5" s="310">
        <f>SUM(F6:F9)</f>
        <v>20513</v>
      </c>
      <c r="G5" s="310">
        <f>SUM(G6:G9)</f>
        <v>9179</v>
      </c>
      <c r="H5" s="310">
        <f>SUM(H6:H9)</f>
        <v>6881</v>
      </c>
      <c r="I5" s="310">
        <f>SUM(I6:I8)</f>
        <v>7790</v>
      </c>
      <c r="J5" s="310">
        <f>SUM(J6:J8)</f>
        <v>0</v>
      </c>
      <c r="K5" s="310"/>
    </row>
    <row r="6" spans="1:24" ht="16.5" x14ac:dyDescent="0.25">
      <c r="A6" s="296"/>
      <c r="B6" s="553"/>
      <c r="C6" s="363" t="s">
        <v>186</v>
      </c>
      <c r="D6" s="309" t="s">
        <v>967</v>
      </c>
      <c r="E6" s="310">
        <v>1000</v>
      </c>
      <c r="F6" s="310">
        <v>13632</v>
      </c>
      <c r="G6" s="310">
        <v>239</v>
      </c>
      <c r="H6" s="310">
        <v>0</v>
      </c>
      <c r="I6" s="310"/>
      <c r="J6" s="310"/>
      <c r="K6" s="310"/>
    </row>
    <row r="7" spans="1:24" ht="16.5" x14ac:dyDescent="0.25">
      <c r="A7" s="296"/>
      <c r="B7" s="553"/>
      <c r="C7" s="363" t="s">
        <v>188</v>
      </c>
      <c r="D7" s="309" t="s">
        <v>27</v>
      </c>
      <c r="E7" s="310">
        <v>5734</v>
      </c>
      <c r="F7" s="310">
        <v>5734</v>
      </c>
      <c r="G7" s="310">
        <v>6234</v>
      </c>
      <c r="H7" s="310">
        <v>5734</v>
      </c>
      <c r="I7" s="310"/>
      <c r="J7" s="310"/>
      <c r="K7" s="310"/>
    </row>
    <row r="8" spans="1:24" ht="16.5" x14ac:dyDescent="0.25">
      <c r="A8" s="296"/>
      <c r="B8" s="553"/>
      <c r="C8" s="363" t="s">
        <v>348</v>
      </c>
      <c r="D8" s="309" t="s">
        <v>1497</v>
      </c>
      <c r="E8" s="310"/>
      <c r="F8" s="310"/>
      <c r="G8" s="310">
        <v>1232</v>
      </c>
      <c r="H8" s="310">
        <v>0</v>
      </c>
      <c r="I8" s="310">
        <v>7790</v>
      </c>
      <c r="J8" s="310"/>
      <c r="K8" s="310"/>
    </row>
    <row r="9" spans="1:24" ht="16.5" x14ac:dyDescent="0.25">
      <c r="A9" s="296"/>
      <c r="B9" s="553"/>
      <c r="D9" s="309" t="s">
        <v>968</v>
      </c>
      <c r="E9" s="310">
        <v>1434</v>
      </c>
      <c r="F9" s="310">
        <v>1147</v>
      </c>
      <c r="G9" s="310">
        <v>1474</v>
      </c>
      <c r="H9" s="310">
        <v>1147</v>
      </c>
      <c r="I9" s="310"/>
      <c r="J9" s="310"/>
      <c r="K9" s="310"/>
    </row>
    <row r="10" spans="1:24" ht="15" customHeight="1" x14ac:dyDescent="0.25">
      <c r="A10" s="296"/>
      <c r="B10" s="553"/>
      <c r="C10" s="291" t="s">
        <v>105</v>
      </c>
      <c r="D10" s="309" t="s">
        <v>888</v>
      </c>
      <c r="E10" s="310">
        <v>0</v>
      </c>
      <c r="F10" s="310">
        <v>0</v>
      </c>
      <c r="G10" s="310"/>
      <c r="H10" s="310"/>
      <c r="I10" s="310"/>
      <c r="J10" s="310"/>
      <c r="K10" s="310"/>
    </row>
    <row r="11" spans="1:24" ht="16.5" x14ac:dyDescent="0.25">
      <c r="A11" s="296"/>
      <c r="B11" s="553"/>
      <c r="C11" s="291" t="s">
        <v>107</v>
      </c>
      <c r="D11" s="309" t="s">
        <v>889</v>
      </c>
      <c r="E11" s="310">
        <f t="shared" ref="E11:J11" si="0">SUM(E12+E15)</f>
        <v>316171</v>
      </c>
      <c r="F11" s="310">
        <f t="shared" si="0"/>
        <v>228060</v>
      </c>
      <c r="G11" s="310">
        <f t="shared" si="0"/>
        <v>330704</v>
      </c>
      <c r="H11" s="310">
        <f t="shared" si="0"/>
        <v>258000</v>
      </c>
      <c r="I11" s="310">
        <f t="shared" si="0"/>
        <v>314568</v>
      </c>
      <c r="J11" s="310">
        <f t="shared" si="0"/>
        <v>0</v>
      </c>
      <c r="K11" s="310"/>
    </row>
    <row r="12" spans="1:24" s="307" customFormat="1" ht="16.5" x14ac:dyDescent="0.25">
      <c r="A12" s="554"/>
      <c r="B12" s="555"/>
      <c r="C12" s="316" t="s">
        <v>397</v>
      </c>
      <c r="D12" s="313" t="s">
        <v>890</v>
      </c>
      <c r="E12" s="314">
        <f t="shared" ref="E12:J12" si="1">SUM(E13:E14)</f>
        <v>212736</v>
      </c>
      <c r="F12" s="314">
        <f t="shared" si="1"/>
        <v>228060</v>
      </c>
      <c r="G12" s="314">
        <f t="shared" si="1"/>
        <v>306934</v>
      </c>
      <c r="H12" s="314">
        <f t="shared" si="1"/>
        <v>258000</v>
      </c>
      <c r="I12" s="314">
        <f t="shared" si="1"/>
        <v>314568</v>
      </c>
      <c r="J12" s="314">
        <f t="shared" si="1"/>
        <v>0</v>
      </c>
      <c r="K12" s="314"/>
      <c r="X12" s="566"/>
    </row>
    <row r="13" spans="1:24" ht="16.5" x14ac:dyDescent="0.25">
      <c r="A13" s="296"/>
      <c r="B13" s="553"/>
      <c r="C13" s="363" t="s">
        <v>891</v>
      </c>
      <c r="D13" s="309" t="s">
        <v>969</v>
      </c>
      <c r="E13" s="310">
        <v>212736</v>
      </c>
      <c r="F13" s="310">
        <v>228060</v>
      </c>
      <c r="G13" s="310">
        <v>298911</v>
      </c>
      <c r="H13" s="310">
        <v>258000</v>
      </c>
      <c r="I13" s="310">
        <v>314568</v>
      </c>
      <c r="J13" s="310"/>
      <c r="K13" s="310"/>
    </row>
    <row r="14" spans="1:24" ht="16.5" x14ac:dyDescent="0.25">
      <c r="A14" s="296"/>
      <c r="B14" s="553"/>
      <c r="C14" s="363" t="s">
        <v>901</v>
      </c>
      <c r="D14" s="309" t="s">
        <v>970</v>
      </c>
      <c r="E14" s="310"/>
      <c r="F14" s="310"/>
      <c r="G14" s="310">
        <v>8023</v>
      </c>
      <c r="H14" s="310">
        <v>0</v>
      </c>
      <c r="I14" s="310"/>
      <c r="J14" s="310"/>
      <c r="K14" s="310"/>
    </row>
    <row r="15" spans="1:24" ht="16.5" x14ac:dyDescent="0.25">
      <c r="A15" s="296"/>
      <c r="B15" s="553"/>
      <c r="C15" s="363" t="s">
        <v>398</v>
      </c>
      <c r="D15" s="309" t="s">
        <v>971</v>
      </c>
      <c r="E15" s="310">
        <v>103435</v>
      </c>
      <c r="F15" s="310"/>
      <c r="G15" s="310">
        <v>23770</v>
      </c>
      <c r="H15" s="310">
        <v>0</v>
      </c>
      <c r="I15" s="310"/>
      <c r="J15" s="310"/>
      <c r="K15" s="310"/>
    </row>
    <row r="16" spans="1:24" ht="16.5" x14ac:dyDescent="0.25">
      <c r="A16" s="296"/>
      <c r="B16" s="553"/>
      <c r="C16" s="291" t="s">
        <v>109</v>
      </c>
      <c r="D16" s="309" t="s">
        <v>972</v>
      </c>
      <c r="E16" s="310"/>
      <c r="F16" s="310"/>
      <c r="G16" s="310"/>
      <c r="H16" s="310"/>
      <c r="I16" s="310"/>
      <c r="J16" s="310"/>
      <c r="K16" s="310"/>
    </row>
    <row r="17" spans="1:14" s="301" customFormat="1" ht="16.5" x14ac:dyDescent="0.25">
      <c r="A17" s="296"/>
      <c r="B17" s="297"/>
      <c r="C17" s="298" t="s">
        <v>451</v>
      </c>
      <c r="D17" s="309" t="s">
        <v>458</v>
      </c>
      <c r="E17" s="300"/>
      <c r="F17" s="300"/>
      <c r="G17" s="300"/>
      <c r="H17" s="300"/>
      <c r="I17" s="310"/>
      <c r="J17" s="310"/>
      <c r="K17" s="310"/>
    </row>
    <row r="18" spans="1:14" ht="16.5" x14ac:dyDescent="0.25">
      <c r="A18" s="296"/>
      <c r="B18" s="553"/>
      <c r="D18" s="309" t="s">
        <v>1476</v>
      </c>
      <c r="E18" s="310">
        <v>1434</v>
      </c>
      <c r="F18" s="310">
        <v>1147</v>
      </c>
      <c r="G18" s="310">
        <v>1474</v>
      </c>
      <c r="H18" s="310">
        <v>1147</v>
      </c>
      <c r="I18" s="310"/>
      <c r="J18" s="310"/>
      <c r="K18" s="310"/>
    </row>
    <row r="19" spans="1:14" ht="16.5" x14ac:dyDescent="0.25">
      <c r="A19" s="296"/>
      <c r="B19" s="553"/>
      <c r="C19" s="363"/>
      <c r="D19" s="558" t="s">
        <v>910</v>
      </c>
      <c r="E19" s="559">
        <f>SUM(E5+E11+E10)</f>
        <v>324339</v>
      </c>
      <c r="F19" s="559">
        <f>SUM(F5+F11+F10)</f>
        <v>248573</v>
      </c>
      <c r="G19" s="559">
        <f>SUM(G5+G11+G10)</f>
        <v>339883</v>
      </c>
      <c r="H19" s="559">
        <f>SUM(H5+H11+H10)</f>
        <v>264881</v>
      </c>
      <c r="I19" s="559">
        <f>SUM(I5+I11+I10+I17+I16+I9)</f>
        <v>322358</v>
      </c>
      <c r="J19" s="559">
        <f>SUM(J5+J11+J10+J17+J16+J9)</f>
        <v>0</v>
      </c>
      <c r="K19" s="559"/>
    </row>
    <row r="20" spans="1:14" ht="16.5" customHeight="1" x14ac:dyDescent="0.25">
      <c r="A20" s="296"/>
      <c r="B20" s="548" t="s">
        <v>6</v>
      </c>
      <c r="C20" s="364"/>
      <c r="D20" s="1622" t="s">
        <v>199</v>
      </c>
      <c r="E20" s="1622"/>
      <c r="F20" s="1622"/>
      <c r="G20" s="1622"/>
      <c r="H20" s="1622"/>
      <c r="I20" s="310"/>
      <c r="J20" s="310"/>
      <c r="K20" s="310"/>
    </row>
    <row r="21" spans="1:14" ht="16.5" x14ac:dyDescent="0.25">
      <c r="A21" s="296"/>
      <c r="B21" s="553"/>
      <c r="C21" s="364" t="s">
        <v>7</v>
      </c>
      <c r="D21" s="309" t="s">
        <v>538</v>
      </c>
      <c r="E21" s="310">
        <v>79920</v>
      </c>
      <c r="F21" s="310">
        <v>96893</v>
      </c>
      <c r="G21" s="310">
        <v>106622</v>
      </c>
      <c r="H21" s="310">
        <v>102125</v>
      </c>
      <c r="I21" s="310">
        <v>101451</v>
      </c>
      <c r="J21" s="310"/>
      <c r="K21" s="310"/>
    </row>
    <row r="22" spans="1:14" ht="16.5" x14ac:dyDescent="0.25">
      <c r="A22" s="296"/>
      <c r="B22" s="553"/>
      <c r="C22" s="364" t="s">
        <v>9</v>
      </c>
      <c r="D22" s="309" t="s">
        <v>539</v>
      </c>
      <c r="E22" s="310">
        <v>25137</v>
      </c>
      <c r="F22" s="310">
        <v>29779</v>
      </c>
      <c r="G22" s="310">
        <v>30303</v>
      </c>
      <c r="H22" s="310">
        <v>31407</v>
      </c>
      <c r="I22" s="310">
        <v>31516</v>
      </c>
      <c r="J22" s="310"/>
      <c r="K22" s="310"/>
    </row>
    <row r="23" spans="1:14" ht="16.5" x14ac:dyDescent="0.25">
      <c r="A23" s="296"/>
      <c r="B23" s="553"/>
      <c r="C23" s="364" t="s">
        <v>11</v>
      </c>
      <c r="D23" s="309" t="s">
        <v>203</v>
      </c>
      <c r="E23" s="310">
        <v>115847</v>
      </c>
      <c r="F23" s="310">
        <v>121901</v>
      </c>
      <c r="G23" s="310">
        <v>179188</v>
      </c>
      <c r="H23" s="310">
        <v>131349</v>
      </c>
      <c r="I23" s="310">
        <v>189391</v>
      </c>
      <c r="J23" s="310"/>
      <c r="K23" s="310"/>
      <c r="N23" s="335" t="e">
        <f>SUM(#REF!-#REF!)</f>
        <v>#REF!</v>
      </c>
    </row>
    <row r="24" spans="1:14" ht="16.5" x14ac:dyDescent="0.25">
      <c r="A24" s="296"/>
      <c r="B24" s="553"/>
      <c r="C24" s="364" t="s">
        <v>13</v>
      </c>
      <c r="D24" s="309" t="s">
        <v>918</v>
      </c>
      <c r="E24" s="310"/>
      <c r="F24" s="310"/>
      <c r="G24" s="310">
        <v>4664</v>
      </c>
      <c r="H24" s="310">
        <v>0</v>
      </c>
      <c r="I24" s="310"/>
      <c r="J24" s="310"/>
      <c r="K24" s="310"/>
    </row>
    <row r="25" spans="1:14" ht="16.5" x14ac:dyDescent="0.25">
      <c r="A25" s="296"/>
      <c r="B25" s="553"/>
      <c r="C25" s="364" t="s">
        <v>15</v>
      </c>
      <c r="D25" s="309" t="s">
        <v>919</v>
      </c>
      <c r="E25" s="310">
        <v>103435</v>
      </c>
      <c r="F25" s="310"/>
      <c r="G25" s="310">
        <v>19106</v>
      </c>
      <c r="H25" s="310">
        <v>0</v>
      </c>
      <c r="I25" s="310"/>
      <c r="J25" s="310"/>
      <c r="K25" s="310"/>
    </row>
    <row r="26" spans="1:14" ht="16.5" x14ac:dyDescent="0.25">
      <c r="A26" s="296"/>
      <c r="B26" s="553"/>
      <c r="C26" s="364" t="s">
        <v>316</v>
      </c>
      <c r="D26" s="309" t="s">
        <v>973</v>
      </c>
      <c r="E26" s="310"/>
      <c r="F26" s="310"/>
      <c r="G26" s="310"/>
      <c r="H26" s="310"/>
      <c r="I26" s="310"/>
      <c r="J26" s="310"/>
      <c r="K26" s="310"/>
    </row>
    <row r="27" spans="1:14" ht="16.5" x14ac:dyDescent="0.25">
      <c r="A27" s="296"/>
      <c r="B27" s="553"/>
      <c r="C27" s="364"/>
      <c r="D27" s="560" t="s">
        <v>921</v>
      </c>
      <c r="E27" s="559">
        <f t="shared" ref="E27:J27" si="2">SUM(E21:E26)</f>
        <v>324339</v>
      </c>
      <c r="F27" s="559">
        <f t="shared" si="2"/>
        <v>248573</v>
      </c>
      <c r="G27" s="559">
        <f t="shared" si="2"/>
        <v>339883</v>
      </c>
      <c r="H27" s="559">
        <f t="shared" si="2"/>
        <v>264881</v>
      </c>
      <c r="I27" s="559">
        <f t="shared" si="2"/>
        <v>322358</v>
      </c>
      <c r="J27" s="559">
        <f t="shared" si="2"/>
        <v>0</v>
      </c>
      <c r="K27" s="559"/>
    </row>
    <row r="28" spans="1:14" ht="16.5" x14ac:dyDescent="0.25">
      <c r="A28" s="296"/>
      <c r="B28" s="548" t="s">
        <v>20</v>
      </c>
      <c r="C28" s="292"/>
      <c r="D28" s="561" t="s">
        <v>922</v>
      </c>
      <c r="E28" s="587">
        <v>53.5</v>
      </c>
      <c r="F28" s="428">
        <v>58</v>
      </c>
      <c r="G28" s="428">
        <v>58</v>
      </c>
      <c r="H28" s="428">
        <v>58</v>
      </c>
      <c r="I28" s="428">
        <v>62</v>
      </c>
      <c r="J28" s="428">
        <v>62</v>
      </c>
      <c r="K28" s="428"/>
    </row>
    <row r="29" spans="1:14" ht="17.25" x14ac:dyDescent="0.3">
      <c r="A29" s="547"/>
      <c r="B29" s="548"/>
      <c r="C29" s="291"/>
      <c r="D29" s="588" t="s">
        <v>974</v>
      </c>
      <c r="E29" s="589"/>
      <c r="F29" s="589"/>
      <c r="G29" s="589"/>
      <c r="H29" s="589"/>
      <c r="I29" s="590"/>
      <c r="J29" s="590"/>
      <c r="K29" s="590"/>
    </row>
    <row r="30" spans="1:14" ht="16.5" customHeight="1" x14ac:dyDescent="0.25">
      <c r="A30" s="296"/>
      <c r="B30" s="548" t="s">
        <v>5</v>
      </c>
      <c r="C30" s="363"/>
      <c r="D30" s="1622" t="s">
        <v>198</v>
      </c>
      <c r="E30" s="1622"/>
      <c r="F30" s="1622"/>
      <c r="G30" s="1622"/>
      <c r="H30" s="1622"/>
      <c r="I30" s="310"/>
      <c r="J30" s="310"/>
      <c r="K30" s="310"/>
    </row>
    <row r="31" spans="1:14" ht="16.5" x14ac:dyDescent="0.25">
      <c r="A31" s="296"/>
      <c r="B31" s="553"/>
      <c r="C31" s="291" t="s">
        <v>103</v>
      </c>
      <c r="D31" s="309" t="s">
        <v>887</v>
      </c>
      <c r="E31" s="310"/>
      <c r="F31" s="310"/>
      <c r="G31" s="310">
        <v>0</v>
      </c>
      <c r="H31" s="310">
        <v>0</v>
      </c>
      <c r="I31" s="310"/>
      <c r="J31" s="310"/>
      <c r="K31" s="310"/>
    </row>
    <row r="32" spans="1:14" ht="15" customHeight="1" x14ac:dyDescent="0.25">
      <c r="A32" s="296"/>
      <c r="B32" s="553"/>
      <c r="C32" s="291" t="s">
        <v>105</v>
      </c>
      <c r="D32" s="309" t="s">
        <v>888</v>
      </c>
      <c r="E32" s="310">
        <v>0</v>
      </c>
      <c r="F32" s="310">
        <v>0</v>
      </c>
      <c r="G32" s="310">
        <v>0</v>
      </c>
      <c r="H32" s="310"/>
      <c r="I32" s="310"/>
      <c r="J32" s="310"/>
      <c r="K32" s="310"/>
    </row>
    <row r="33" spans="1:24" ht="16.5" x14ac:dyDescent="0.25">
      <c r="A33" s="296"/>
      <c r="B33" s="553"/>
      <c r="C33" s="291" t="s">
        <v>107</v>
      </c>
      <c r="D33" s="309" t="s">
        <v>889</v>
      </c>
      <c r="E33" s="310">
        <f t="shared" ref="E33:J33" si="3">SUM(E34+E37)</f>
        <v>26828</v>
      </c>
      <c r="F33" s="310">
        <f t="shared" si="3"/>
        <v>27295</v>
      </c>
      <c r="G33" s="310">
        <f t="shared" si="3"/>
        <v>27490</v>
      </c>
      <c r="H33" s="310">
        <f t="shared" si="3"/>
        <v>39865</v>
      </c>
      <c r="I33" s="310">
        <f t="shared" si="3"/>
        <v>45192</v>
      </c>
      <c r="J33" s="310">
        <f t="shared" si="3"/>
        <v>0</v>
      </c>
      <c r="K33" s="310"/>
    </row>
    <row r="34" spans="1:24" s="307" customFormat="1" ht="16.5" x14ac:dyDescent="0.25">
      <c r="A34" s="554"/>
      <c r="B34" s="555"/>
      <c r="C34" s="316" t="s">
        <v>397</v>
      </c>
      <c r="D34" s="313" t="s">
        <v>890</v>
      </c>
      <c r="E34" s="314">
        <f t="shared" ref="E34:J34" si="4">SUM(E35:E36)</f>
        <v>26828</v>
      </c>
      <c r="F34" s="314">
        <f t="shared" si="4"/>
        <v>27295</v>
      </c>
      <c r="G34" s="314">
        <f t="shared" si="4"/>
        <v>27490</v>
      </c>
      <c r="H34" s="314">
        <f t="shared" si="4"/>
        <v>39865</v>
      </c>
      <c r="I34" s="314">
        <f t="shared" si="4"/>
        <v>45192</v>
      </c>
      <c r="J34" s="314">
        <f t="shared" si="4"/>
        <v>0</v>
      </c>
      <c r="K34" s="314"/>
      <c r="X34" s="566"/>
    </row>
    <row r="35" spans="1:24" ht="16.5" x14ac:dyDescent="0.25">
      <c r="A35" s="296"/>
      <c r="B35" s="553"/>
      <c r="C35" s="363" t="s">
        <v>891</v>
      </c>
      <c r="D35" s="309" t="s">
        <v>975</v>
      </c>
      <c r="E35" s="310">
        <v>20148</v>
      </c>
      <c r="F35" s="310">
        <v>20615</v>
      </c>
      <c r="G35" s="310">
        <v>20615</v>
      </c>
      <c r="H35" s="310">
        <v>30410</v>
      </c>
      <c r="I35" s="310">
        <v>27760</v>
      </c>
      <c r="J35" s="310"/>
      <c r="K35" s="310"/>
    </row>
    <row r="36" spans="1:24" ht="16.5" x14ac:dyDescent="0.25">
      <c r="A36" s="296"/>
      <c r="B36" s="553"/>
      <c r="C36" s="363" t="s">
        <v>901</v>
      </c>
      <c r="D36" s="309" t="s">
        <v>970</v>
      </c>
      <c r="E36" s="310">
        <v>6680</v>
      </c>
      <c r="F36" s="310">
        <v>6680</v>
      </c>
      <c r="G36" s="310">
        <v>6875</v>
      </c>
      <c r="H36" s="310">
        <v>9455</v>
      </c>
      <c r="I36" s="310">
        <v>17432</v>
      </c>
      <c r="J36" s="310"/>
      <c r="K36" s="310"/>
    </row>
    <row r="37" spans="1:24" ht="16.5" x14ac:dyDescent="0.25">
      <c r="A37" s="296"/>
      <c r="B37" s="553"/>
      <c r="C37" s="363" t="s">
        <v>398</v>
      </c>
      <c r="D37" s="309" t="s">
        <v>971</v>
      </c>
      <c r="E37" s="310"/>
      <c r="F37" s="310"/>
      <c r="G37" s="310"/>
      <c r="H37" s="310"/>
      <c r="I37" s="310"/>
      <c r="J37" s="310"/>
      <c r="K37" s="310"/>
    </row>
    <row r="38" spans="1:24" ht="16.5" x14ac:dyDescent="0.25">
      <c r="A38" s="296"/>
      <c r="B38" s="553"/>
      <c r="C38" s="363"/>
      <c r="D38" s="558" t="s">
        <v>910</v>
      </c>
      <c r="E38" s="559">
        <f t="shared" ref="E38:J38" si="5">SUM(E31+E33+E32)</f>
        <v>26828</v>
      </c>
      <c r="F38" s="559">
        <f t="shared" si="5"/>
        <v>27295</v>
      </c>
      <c r="G38" s="559">
        <f t="shared" si="5"/>
        <v>27490</v>
      </c>
      <c r="H38" s="559">
        <f t="shared" si="5"/>
        <v>39865</v>
      </c>
      <c r="I38" s="559">
        <f t="shared" si="5"/>
        <v>45192</v>
      </c>
      <c r="J38" s="559">
        <f t="shared" si="5"/>
        <v>0</v>
      </c>
      <c r="K38" s="559"/>
    </row>
    <row r="39" spans="1:24" ht="16.5" customHeight="1" x14ac:dyDescent="0.25">
      <c r="A39" s="296"/>
      <c r="B39" s="548" t="s">
        <v>6</v>
      </c>
      <c r="C39" s="364"/>
      <c r="D39" s="1622" t="s">
        <v>199</v>
      </c>
      <c r="E39" s="1622"/>
      <c r="F39" s="1622"/>
      <c r="G39" s="1622"/>
      <c r="H39" s="1622"/>
      <c r="I39" s="310"/>
      <c r="J39" s="310"/>
      <c r="K39" s="310"/>
    </row>
    <row r="40" spans="1:24" ht="16.5" x14ac:dyDescent="0.25">
      <c r="A40" s="296"/>
      <c r="B40" s="553"/>
      <c r="C40" s="364" t="s">
        <v>7</v>
      </c>
      <c r="D40" s="309" t="s">
        <v>538</v>
      </c>
      <c r="E40" s="310">
        <v>1920</v>
      </c>
      <c r="F40" s="310">
        <v>2160</v>
      </c>
      <c r="G40" s="310">
        <v>2201</v>
      </c>
      <c r="H40" s="310">
        <v>10611</v>
      </c>
      <c r="I40" s="310">
        <v>8039</v>
      </c>
      <c r="J40" s="310"/>
      <c r="K40" s="310"/>
    </row>
    <row r="41" spans="1:24" ht="16.5" x14ac:dyDescent="0.25">
      <c r="A41" s="296"/>
      <c r="B41" s="553"/>
      <c r="C41" s="364" t="s">
        <v>9</v>
      </c>
      <c r="D41" s="309" t="s">
        <v>539</v>
      </c>
      <c r="E41" s="310">
        <v>615</v>
      </c>
      <c r="F41" s="310">
        <v>691</v>
      </c>
      <c r="G41" s="310">
        <v>704</v>
      </c>
      <c r="H41" s="310">
        <v>3291</v>
      </c>
      <c r="I41" s="310">
        <v>2083</v>
      </c>
      <c r="J41" s="310"/>
      <c r="K41" s="310"/>
    </row>
    <row r="42" spans="1:24" ht="16.5" x14ac:dyDescent="0.25">
      <c r="A42" s="296"/>
      <c r="B42" s="553"/>
      <c r="C42" s="364" t="s">
        <v>11</v>
      </c>
      <c r="D42" s="309" t="s">
        <v>203</v>
      </c>
      <c r="E42" s="310">
        <v>24293</v>
      </c>
      <c r="F42" s="310">
        <v>24444</v>
      </c>
      <c r="G42" s="310">
        <v>24585</v>
      </c>
      <c r="H42" s="310">
        <v>25963</v>
      </c>
      <c r="I42" s="310">
        <v>35070</v>
      </c>
      <c r="J42" s="310"/>
      <c r="K42" s="310"/>
    </row>
    <row r="43" spans="1:24" ht="16.5" x14ac:dyDescent="0.25">
      <c r="A43" s="296"/>
      <c r="B43" s="553"/>
      <c r="C43" s="364" t="s">
        <v>17</v>
      </c>
      <c r="D43" s="309" t="s">
        <v>918</v>
      </c>
      <c r="E43" s="310"/>
      <c r="F43" s="310"/>
      <c r="G43" s="310"/>
      <c r="H43" s="310"/>
      <c r="I43" s="310"/>
      <c r="J43" s="310"/>
      <c r="K43" s="310"/>
    </row>
    <row r="44" spans="1:24" ht="16.5" x14ac:dyDescent="0.25">
      <c r="A44" s="296"/>
      <c r="B44" s="553"/>
      <c r="C44" s="364" t="s">
        <v>19</v>
      </c>
      <c r="D44" s="309" t="s">
        <v>919</v>
      </c>
      <c r="E44" s="310"/>
      <c r="F44" s="310"/>
      <c r="G44" s="310"/>
      <c r="H44" s="310"/>
      <c r="I44" s="310"/>
      <c r="J44" s="310"/>
      <c r="K44" s="310"/>
    </row>
    <row r="45" spans="1:24" ht="16.5" x14ac:dyDescent="0.25">
      <c r="A45" s="296"/>
      <c r="B45" s="553"/>
      <c r="C45" s="364" t="s">
        <v>524</v>
      </c>
      <c r="D45" s="309" t="s">
        <v>920</v>
      </c>
      <c r="E45" s="310"/>
      <c r="F45" s="310"/>
      <c r="G45" s="310"/>
      <c r="H45" s="310"/>
      <c r="I45" s="310"/>
      <c r="J45" s="310"/>
      <c r="K45" s="310"/>
    </row>
    <row r="46" spans="1:24" ht="16.5" x14ac:dyDescent="0.25">
      <c r="A46" s="296"/>
      <c r="B46" s="553"/>
      <c r="C46" s="364"/>
      <c r="D46" s="560" t="s">
        <v>921</v>
      </c>
      <c r="E46" s="559">
        <f t="shared" ref="E46:J46" si="6">SUM(E40:E45)</f>
        <v>26828</v>
      </c>
      <c r="F46" s="559">
        <f t="shared" si="6"/>
        <v>27295</v>
      </c>
      <c r="G46" s="559">
        <f t="shared" si="6"/>
        <v>27490</v>
      </c>
      <c r="H46" s="559">
        <f t="shared" si="6"/>
        <v>39865</v>
      </c>
      <c r="I46" s="559">
        <f t="shared" si="6"/>
        <v>45192</v>
      </c>
      <c r="J46" s="559">
        <f t="shared" si="6"/>
        <v>0</v>
      </c>
      <c r="K46" s="559"/>
    </row>
    <row r="47" spans="1:24" ht="16.5" x14ac:dyDescent="0.25">
      <c r="A47" s="296"/>
      <c r="B47" s="548" t="s">
        <v>20</v>
      </c>
      <c r="C47" s="292"/>
      <c r="D47" s="561" t="s">
        <v>922</v>
      </c>
      <c r="E47" s="428">
        <v>1</v>
      </c>
      <c r="F47" s="428">
        <v>0</v>
      </c>
      <c r="G47" s="428">
        <v>0</v>
      </c>
      <c r="H47" s="428">
        <v>3</v>
      </c>
      <c r="I47" s="428">
        <v>0</v>
      </c>
      <c r="J47" s="428">
        <v>0</v>
      </c>
      <c r="K47" s="428"/>
    </row>
    <row r="48" spans="1:24" ht="17.25" x14ac:dyDescent="0.3">
      <c r="A48" s="547"/>
      <c r="B48" s="548"/>
      <c r="C48" s="291"/>
      <c r="D48" s="588" t="s">
        <v>976</v>
      </c>
      <c r="E48" s="589"/>
      <c r="F48" s="589"/>
      <c r="G48" s="589"/>
      <c r="H48" s="589"/>
      <c r="I48" s="590"/>
      <c r="J48" s="590"/>
      <c r="K48" s="590"/>
    </row>
    <row r="49" spans="1:24" ht="16.5" customHeight="1" x14ac:dyDescent="0.25">
      <c r="A49" s="296"/>
      <c r="B49" s="548" t="s">
        <v>5</v>
      </c>
      <c r="C49" s="363"/>
      <c r="D49" s="1622" t="s">
        <v>198</v>
      </c>
      <c r="E49" s="1622"/>
      <c r="F49" s="1622"/>
      <c r="G49" s="1622"/>
      <c r="H49" s="1622"/>
      <c r="I49" s="310"/>
      <c r="J49" s="310"/>
      <c r="K49" s="310"/>
    </row>
    <row r="50" spans="1:24" ht="16.5" x14ac:dyDescent="0.25">
      <c r="A50" s="296"/>
      <c r="B50" s="553"/>
      <c r="C50" s="291" t="s">
        <v>103</v>
      </c>
      <c r="D50" s="309" t="s">
        <v>887</v>
      </c>
      <c r="E50" s="310">
        <f t="shared" ref="E50:J50" si="7">SUM(E51:E52)</f>
        <v>2585</v>
      </c>
      <c r="F50" s="310">
        <f t="shared" si="7"/>
        <v>3074</v>
      </c>
      <c r="G50" s="310">
        <f t="shared" si="7"/>
        <v>3074</v>
      </c>
      <c r="H50" s="310">
        <f t="shared" si="7"/>
        <v>3934</v>
      </c>
      <c r="I50" s="310">
        <f t="shared" si="7"/>
        <v>4860</v>
      </c>
      <c r="J50" s="310">
        <f t="shared" si="7"/>
        <v>0</v>
      </c>
      <c r="K50" s="310"/>
    </row>
    <row r="51" spans="1:24" ht="16.5" x14ac:dyDescent="0.25">
      <c r="A51" s="296"/>
      <c r="B51" s="553"/>
      <c r="C51" s="363" t="s">
        <v>977</v>
      </c>
      <c r="D51" s="309" t="s">
        <v>978</v>
      </c>
      <c r="E51" s="310">
        <v>2154</v>
      </c>
      <c r="F51" s="310">
        <v>2647</v>
      </c>
      <c r="G51" s="310">
        <v>2647</v>
      </c>
      <c r="H51" s="310">
        <v>3278</v>
      </c>
      <c r="I51" s="310">
        <v>4860</v>
      </c>
      <c r="J51" s="310"/>
      <c r="K51" s="310"/>
    </row>
    <row r="52" spans="1:24" ht="16.5" x14ac:dyDescent="0.25">
      <c r="A52" s="296"/>
      <c r="B52" s="553"/>
      <c r="C52" s="363" t="s">
        <v>188</v>
      </c>
      <c r="D52" s="309" t="s">
        <v>936</v>
      </c>
      <c r="E52" s="310">
        <v>431</v>
      </c>
      <c r="F52" s="310">
        <v>427</v>
      </c>
      <c r="G52" s="310">
        <v>427</v>
      </c>
      <c r="H52" s="310">
        <v>656</v>
      </c>
      <c r="I52" s="310"/>
      <c r="J52" s="310"/>
      <c r="K52" s="310"/>
    </row>
    <row r="53" spans="1:24" ht="15" customHeight="1" x14ac:dyDescent="0.25">
      <c r="A53" s="296"/>
      <c r="B53" s="553"/>
      <c r="C53" s="291" t="s">
        <v>105</v>
      </c>
      <c r="D53" s="309" t="s">
        <v>888</v>
      </c>
      <c r="E53" s="310">
        <v>0</v>
      </c>
      <c r="F53" s="310">
        <v>0</v>
      </c>
      <c r="G53" s="310">
        <v>0</v>
      </c>
      <c r="H53" s="310"/>
      <c r="I53" s="310"/>
      <c r="J53" s="310"/>
      <c r="K53" s="310"/>
    </row>
    <row r="54" spans="1:24" ht="16.5" x14ac:dyDescent="0.25">
      <c r="A54" s="296"/>
      <c r="B54" s="553"/>
      <c r="C54" s="291" t="s">
        <v>107</v>
      </c>
      <c r="D54" s="309" t="s">
        <v>889</v>
      </c>
      <c r="E54" s="310">
        <f t="shared" ref="E54:J54" si="8">SUM(E55+E58)</f>
        <v>0</v>
      </c>
      <c r="F54" s="310">
        <f t="shared" si="8"/>
        <v>0</v>
      </c>
      <c r="G54" s="310">
        <f t="shared" si="8"/>
        <v>759</v>
      </c>
      <c r="H54" s="310">
        <f t="shared" si="8"/>
        <v>0</v>
      </c>
      <c r="I54" s="310">
        <f t="shared" si="8"/>
        <v>24354</v>
      </c>
      <c r="J54" s="310">
        <f t="shared" si="8"/>
        <v>0</v>
      </c>
      <c r="K54" s="310"/>
    </row>
    <row r="55" spans="1:24" s="307" customFormat="1" ht="16.5" x14ac:dyDescent="0.25">
      <c r="A55" s="554"/>
      <c r="B55" s="555"/>
      <c r="C55" s="316" t="s">
        <v>397</v>
      </c>
      <c r="D55" s="313" t="s">
        <v>890</v>
      </c>
      <c r="E55" s="314">
        <f>SUM(E56:E57)</f>
        <v>0</v>
      </c>
      <c r="F55" s="314"/>
      <c r="G55" s="314">
        <f>SUM(G56:G57)</f>
        <v>499</v>
      </c>
      <c r="H55" s="314">
        <f>SUM(H56:H57)</f>
        <v>0</v>
      </c>
      <c r="I55" s="314">
        <f>SUM(I56:I57)</f>
        <v>24354</v>
      </c>
      <c r="J55" s="314">
        <f>SUM(J56:J57)</f>
        <v>0</v>
      </c>
      <c r="K55" s="314"/>
      <c r="X55" s="566"/>
    </row>
    <row r="56" spans="1:24" ht="16.5" customHeight="1" x14ac:dyDescent="0.25">
      <c r="A56" s="296"/>
      <c r="B56" s="553"/>
      <c r="C56" s="363" t="s">
        <v>891</v>
      </c>
      <c r="D56" s="309" t="s">
        <v>979</v>
      </c>
      <c r="E56" s="310"/>
      <c r="F56" s="310"/>
      <c r="G56" s="310"/>
      <c r="H56" s="310"/>
      <c r="I56" s="310"/>
      <c r="J56" s="310"/>
      <c r="K56" s="310"/>
    </row>
    <row r="57" spans="1:24" ht="16.5" x14ac:dyDescent="0.25">
      <c r="A57" s="296"/>
      <c r="B57" s="553"/>
      <c r="C57" s="363" t="s">
        <v>901</v>
      </c>
      <c r="D57" s="309" t="s">
        <v>970</v>
      </c>
      <c r="E57" s="310"/>
      <c r="F57" s="310"/>
      <c r="G57" s="310">
        <v>499</v>
      </c>
      <c r="H57" s="310">
        <v>0</v>
      </c>
      <c r="I57" s="310">
        <v>24354</v>
      </c>
      <c r="J57" s="310"/>
      <c r="K57" s="310"/>
    </row>
    <row r="58" spans="1:24" ht="16.5" x14ac:dyDescent="0.25">
      <c r="A58" s="296"/>
      <c r="B58" s="553"/>
      <c r="C58" s="363" t="s">
        <v>398</v>
      </c>
      <c r="D58" s="309" t="s">
        <v>971</v>
      </c>
      <c r="E58" s="310"/>
      <c r="F58" s="310"/>
      <c r="G58" s="310">
        <v>260</v>
      </c>
      <c r="H58" s="310">
        <v>0</v>
      </c>
      <c r="I58" s="310"/>
      <c r="J58" s="310"/>
      <c r="K58" s="310"/>
    </row>
    <row r="59" spans="1:24" ht="16.5" x14ac:dyDescent="0.25">
      <c r="A59" s="296"/>
      <c r="B59" s="553"/>
      <c r="C59" s="363"/>
      <c r="D59" s="558" t="s">
        <v>910</v>
      </c>
      <c r="E59" s="559">
        <f t="shared" ref="E59:J59" si="9">SUM(E50+E54+E53)</f>
        <v>2585</v>
      </c>
      <c r="F59" s="559">
        <f t="shared" si="9"/>
        <v>3074</v>
      </c>
      <c r="G59" s="559">
        <f t="shared" si="9"/>
        <v>3833</v>
      </c>
      <c r="H59" s="559">
        <f t="shared" si="9"/>
        <v>3934</v>
      </c>
      <c r="I59" s="559">
        <f t="shared" si="9"/>
        <v>29214</v>
      </c>
      <c r="J59" s="559">
        <f t="shared" si="9"/>
        <v>0</v>
      </c>
      <c r="K59" s="559"/>
    </row>
    <row r="60" spans="1:24" ht="16.5" customHeight="1" x14ac:dyDescent="0.25">
      <c r="A60" s="296"/>
      <c r="B60" s="548" t="s">
        <v>6</v>
      </c>
      <c r="C60" s="364"/>
      <c r="D60" s="1622" t="s">
        <v>199</v>
      </c>
      <c r="E60" s="1622"/>
      <c r="F60" s="1622"/>
      <c r="G60" s="1622"/>
      <c r="H60" s="1622"/>
      <c r="I60" s="310"/>
      <c r="J60" s="310"/>
      <c r="K60" s="310"/>
    </row>
    <row r="61" spans="1:24" ht="16.5" x14ac:dyDescent="0.25">
      <c r="A61" s="296"/>
      <c r="B61" s="553"/>
      <c r="C61" s="364" t="s">
        <v>7</v>
      </c>
      <c r="D61" s="309" t="s">
        <v>538</v>
      </c>
      <c r="E61" s="310">
        <v>1962</v>
      </c>
      <c r="F61" s="310">
        <v>2295</v>
      </c>
      <c r="G61" s="310">
        <v>2363</v>
      </c>
      <c r="H61" s="310">
        <v>2499</v>
      </c>
      <c r="I61" s="310">
        <v>12869</v>
      </c>
      <c r="J61" s="310"/>
      <c r="K61" s="310"/>
    </row>
    <row r="62" spans="1:24" ht="16.5" x14ac:dyDescent="0.25">
      <c r="A62" s="296"/>
      <c r="B62" s="553"/>
      <c r="C62" s="364" t="s">
        <v>9</v>
      </c>
      <c r="D62" s="309" t="s">
        <v>539</v>
      </c>
      <c r="E62" s="310">
        <v>587</v>
      </c>
      <c r="F62" s="310">
        <v>699</v>
      </c>
      <c r="G62" s="310">
        <v>721</v>
      </c>
      <c r="H62" s="310">
        <v>719</v>
      </c>
      <c r="I62" s="310">
        <v>3527</v>
      </c>
      <c r="J62" s="310"/>
      <c r="K62" s="310"/>
    </row>
    <row r="63" spans="1:24" ht="16.5" x14ac:dyDescent="0.25">
      <c r="A63" s="296"/>
      <c r="B63" s="553"/>
      <c r="C63" s="364" t="s">
        <v>11</v>
      </c>
      <c r="D63" s="309" t="s">
        <v>203</v>
      </c>
      <c r="E63" s="310">
        <v>36</v>
      </c>
      <c r="F63" s="310">
        <v>80</v>
      </c>
      <c r="G63" s="310">
        <v>489</v>
      </c>
      <c r="H63" s="310">
        <v>716</v>
      </c>
      <c r="I63" s="310">
        <v>12818</v>
      </c>
      <c r="J63" s="310"/>
      <c r="K63" s="310"/>
    </row>
    <row r="64" spans="1:24" ht="16.5" x14ac:dyDescent="0.25">
      <c r="A64" s="296"/>
      <c r="B64" s="553"/>
      <c r="C64" s="364" t="s">
        <v>13</v>
      </c>
      <c r="D64" s="309" t="s">
        <v>918</v>
      </c>
      <c r="E64" s="310"/>
      <c r="F64" s="310"/>
      <c r="G64" s="310"/>
      <c r="H64" s="310"/>
      <c r="I64" s="310"/>
      <c r="J64" s="310"/>
      <c r="K64" s="310"/>
    </row>
    <row r="65" spans="1:24" ht="16.5" x14ac:dyDescent="0.25">
      <c r="A65" s="296"/>
      <c r="B65" s="553"/>
      <c r="C65" s="364" t="s">
        <v>15</v>
      </c>
      <c r="D65" s="309" t="s">
        <v>919</v>
      </c>
      <c r="E65" s="310"/>
      <c r="F65" s="310"/>
      <c r="G65" s="310">
        <v>260</v>
      </c>
      <c r="H65" s="310">
        <v>0</v>
      </c>
      <c r="I65" s="310"/>
      <c r="J65" s="310"/>
      <c r="K65" s="310"/>
    </row>
    <row r="66" spans="1:24" ht="16.5" x14ac:dyDescent="0.25">
      <c r="A66" s="296"/>
      <c r="B66" s="553"/>
      <c r="C66" s="364" t="s">
        <v>17</v>
      </c>
      <c r="D66" s="309" t="s">
        <v>920</v>
      </c>
      <c r="E66" s="310"/>
      <c r="F66" s="310"/>
      <c r="G66" s="310"/>
      <c r="H66" s="310"/>
      <c r="I66" s="310"/>
      <c r="J66" s="310"/>
      <c r="K66" s="310"/>
    </row>
    <row r="67" spans="1:24" ht="16.5" x14ac:dyDescent="0.25">
      <c r="A67" s="296"/>
      <c r="B67" s="553"/>
      <c r="C67" s="364"/>
      <c r="D67" s="560" t="s">
        <v>921</v>
      </c>
      <c r="E67" s="559">
        <f t="shared" ref="E67:J67" si="10">SUM(E61:E66)</f>
        <v>2585</v>
      </c>
      <c r="F67" s="559">
        <f t="shared" si="10"/>
        <v>3074</v>
      </c>
      <c r="G67" s="559">
        <f t="shared" si="10"/>
        <v>3833</v>
      </c>
      <c r="H67" s="559">
        <f t="shared" si="10"/>
        <v>3934</v>
      </c>
      <c r="I67" s="559">
        <f t="shared" si="10"/>
        <v>29214</v>
      </c>
      <c r="J67" s="559">
        <f t="shared" si="10"/>
        <v>0</v>
      </c>
      <c r="K67" s="559"/>
    </row>
    <row r="68" spans="1:24" ht="16.5" x14ac:dyDescent="0.25">
      <c r="A68" s="296"/>
      <c r="B68" s="548" t="s">
        <v>20</v>
      </c>
      <c r="C68" s="292"/>
      <c r="D68" s="561" t="s">
        <v>922</v>
      </c>
      <c r="E68" s="428">
        <v>1</v>
      </c>
      <c r="F68" s="428">
        <v>1</v>
      </c>
      <c r="G68" s="428">
        <v>1</v>
      </c>
      <c r="H68" s="428">
        <v>1</v>
      </c>
      <c r="I68" s="428">
        <v>1</v>
      </c>
      <c r="J68" s="428">
        <v>1</v>
      </c>
      <c r="K68" s="428"/>
    </row>
    <row r="69" spans="1:24" ht="17.25" x14ac:dyDescent="0.3">
      <c r="A69" s="547"/>
      <c r="B69" s="548"/>
      <c r="C69" s="291"/>
      <c r="D69" s="588" t="s">
        <v>980</v>
      </c>
      <c r="E69" s="589"/>
      <c r="F69" s="589"/>
      <c r="G69" s="589"/>
      <c r="H69" s="589"/>
      <c r="I69" s="590"/>
      <c r="J69" s="590"/>
      <c r="K69" s="590"/>
    </row>
    <row r="70" spans="1:24" ht="16.5" customHeight="1" x14ac:dyDescent="0.25">
      <c r="A70" s="296"/>
      <c r="B70" s="548" t="s">
        <v>5</v>
      </c>
      <c r="C70" s="363"/>
      <c r="D70" s="1622" t="s">
        <v>198</v>
      </c>
      <c r="E70" s="1622"/>
      <c r="F70" s="1622"/>
      <c r="G70" s="1622"/>
      <c r="H70" s="1622"/>
      <c r="I70" s="310"/>
      <c r="J70" s="310"/>
      <c r="K70" s="310"/>
    </row>
    <row r="71" spans="1:24" ht="16.5" x14ac:dyDescent="0.25">
      <c r="A71" s="296"/>
      <c r="B71" s="553"/>
      <c r="C71" s="291" t="s">
        <v>103</v>
      </c>
      <c r="D71" s="309" t="s">
        <v>887</v>
      </c>
      <c r="E71" s="310"/>
      <c r="F71" s="310"/>
      <c r="G71" s="310"/>
      <c r="H71" s="320"/>
      <c r="I71" s="310"/>
      <c r="J71" s="310"/>
      <c r="K71" s="310"/>
    </row>
    <row r="72" spans="1:24" ht="15" customHeight="1" x14ac:dyDescent="0.25">
      <c r="A72" s="296"/>
      <c r="B72" s="553"/>
      <c r="C72" s="291" t="s">
        <v>105</v>
      </c>
      <c r="D72" s="309" t="s">
        <v>888</v>
      </c>
      <c r="E72" s="310">
        <v>0</v>
      </c>
      <c r="F72" s="310">
        <v>0</v>
      </c>
      <c r="G72" s="310">
        <v>0</v>
      </c>
      <c r="H72" s="320"/>
      <c r="I72" s="310">
        <v>0</v>
      </c>
      <c r="J72" s="310">
        <v>0</v>
      </c>
      <c r="K72" s="310"/>
    </row>
    <row r="73" spans="1:24" ht="16.5" x14ac:dyDescent="0.25">
      <c r="A73" s="296"/>
      <c r="B73" s="553"/>
      <c r="C73" s="291" t="s">
        <v>107</v>
      </c>
      <c r="D73" s="309" t="s">
        <v>889</v>
      </c>
      <c r="E73" s="310">
        <f t="shared" ref="E73:J73" si="11">SUM(E74+E77)</f>
        <v>11898</v>
      </c>
      <c r="F73" s="310">
        <f t="shared" si="11"/>
        <v>13011</v>
      </c>
      <c r="G73" s="310">
        <f t="shared" si="11"/>
        <v>13387</v>
      </c>
      <c r="H73" s="320">
        <f t="shared" si="11"/>
        <v>0</v>
      </c>
      <c r="I73" s="310">
        <f t="shared" si="11"/>
        <v>11928</v>
      </c>
      <c r="J73" s="310">
        <f t="shared" si="11"/>
        <v>0</v>
      </c>
      <c r="K73" s="310"/>
    </row>
    <row r="74" spans="1:24" s="307" customFormat="1" ht="16.5" x14ac:dyDescent="0.25">
      <c r="A74" s="554"/>
      <c r="B74" s="555"/>
      <c r="C74" s="316" t="s">
        <v>397</v>
      </c>
      <c r="D74" s="313" t="s">
        <v>890</v>
      </c>
      <c r="E74" s="314">
        <f t="shared" ref="E74:J74" si="12">SUM(E75:E76)</f>
        <v>11898</v>
      </c>
      <c r="F74" s="314">
        <f t="shared" si="12"/>
        <v>13011</v>
      </c>
      <c r="G74" s="314">
        <f t="shared" si="12"/>
        <v>13387</v>
      </c>
      <c r="H74" s="591">
        <f t="shared" si="12"/>
        <v>0</v>
      </c>
      <c r="I74" s="314">
        <f t="shared" si="12"/>
        <v>11928</v>
      </c>
      <c r="J74" s="314">
        <f t="shared" si="12"/>
        <v>0</v>
      </c>
      <c r="K74" s="314"/>
      <c r="X74" s="566"/>
    </row>
    <row r="75" spans="1:24" ht="16.5" x14ac:dyDescent="0.25">
      <c r="A75" s="296"/>
      <c r="B75" s="553"/>
      <c r="C75" s="363" t="s">
        <v>891</v>
      </c>
      <c r="D75" s="309" t="s">
        <v>975</v>
      </c>
      <c r="E75" s="310">
        <v>10776</v>
      </c>
      <c r="F75" s="310">
        <v>10236</v>
      </c>
      <c r="G75" s="310">
        <v>10236</v>
      </c>
      <c r="H75" s="320">
        <v>0</v>
      </c>
      <c r="I75" s="310">
        <v>11928</v>
      </c>
      <c r="J75" s="310"/>
      <c r="K75" s="310"/>
    </row>
    <row r="76" spans="1:24" ht="16.5" x14ac:dyDescent="0.25">
      <c r="A76" s="296"/>
      <c r="B76" s="553"/>
      <c r="C76" s="363" t="s">
        <v>901</v>
      </c>
      <c r="D76" s="309" t="s">
        <v>970</v>
      </c>
      <c r="E76" s="310">
        <v>1122</v>
      </c>
      <c r="F76" s="310">
        <v>2775</v>
      </c>
      <c r="G76" s="310">
        <v>3151</v>
      </c>
      <c r="H76" s="320">
        <v>0</v>
      </c>
      <c r="I76" s="310"/>
      <c r="J76" s="310"/>
      <c r="K76" s="310"/>
    </row>
    <row r="77" spans="1:24" ht="16.5" x14ac:dyDescent="0.25">
      <c r="A77" s="296"/>
      <c r="B77" s="553"/>
      <c r="C77" s="363" t="s">
        <v>398</v>
      </c>
      <c r="D77" s="309" t="s">
        <v>971</v>
      </c>
      <c r="E77" s="310"/>
      <c r="F77" s="310"/>
      <c r="G77" s="310"/>
      <c r="H77" s="320"/>
      <c r="I77" s="310"/>
      <c r="J77" s="310"/>
      <c r="K77" s="310"/>
    </row>
    <row r="78" spans="1:24" s="301" customFormat="1" ht="16.5" x14ac:dyDescent="0.25">
      <c r="A78" s="296"/>
      <c r="B78" s="297"/>
      <c r="C78" s="298" t="s">
        <v>451</v>
      </c>
      <c r="D78" s="309" t="s">
        <v>458</v>
      </c>
      <c r="E78" s="300"/>
      <c r="F78" s="300"/>
      <c r="G78" s="300"/>
      <c r="H78" s="300"/>
      <c r="I78" s="310"/>
      <c r="J78" s="310"/>
      <c r="K78" s="310"/>
    </row>
    <row r="79" spans="1:24" ht="16.5" x14ac:dyDescent="0.25">
      <c r="A79" s="296"/>
      <c r="B79" s="553"/>
      <c r="C79" s="363"/>
      <c r="D79" s="558" t="s">
        <v>910</v>
      </c>
      <c r="E79" s="559">
        <f>SUM(E71+E73+E72)</f>
        <v>11898</v>
      </c>
      <c r="F79" s="559">
        <f>SUM(F71+F73+F72)</f>
        <v>13011</v>
      </c>
      <c r="G79" s="559">
        <f>SUM(G71+G73+G72)</f>
        <v>13387</v>
      </c>
      <c r="H79" s="592">
        <f>SUM(H71+H73+H72)</f>
        <v>0</v>
      </c>
      <c r="I79" s="559">
        <f>SUM(I71+I73+I72+I78)</f>
        <v>11928</v>
      </c>
      <c r="J79" s="559">
        <f>SUM(J71+J73+J72+J78)</f>
        <v>0</v>
      </c>
      <c r="K79" s="559"/>
    </row>
    <row r="80" spans="1:24" ht="16.5" customHeight="1" x14ac:dyDescent="0.25">
      <c r="A80" s="296"/>
      <c r="B80" s="548" t="s">
        <v>6</v>
      </c>
      <c r="C80" s="364"/>
      <c r="D80" s="1622" t="s">
        <v>199</v>
      </c>
      <c r="E80" s="1622"/>
      <c r="F80" s="1622"/>
      <c r="G80" s="1622"/>
      <c r="H80" s="1622"/>
      <c r="I80" s="310"/>
      <c r="J80" s="310"/>
      <c r="K80" s="310"/>
    </row>
    <row r="81" spans="1:24" ht="16.5" x14ac:dyDescent="0.25">
      <c r="A81" s="296"/>
      <c r="B81" s="553"/>
      <c r="C81" s="364" t="s">
        <v>7</v>
      </c>
      <c r="D81" s="309" t="s">
        <v>538</v>
      </c>
      <c r="E81" s="310">
        <v>7165</v>
      </c>
      <c r="F81" s="310">
        <v>8560</v>
      </c>
      <c r="G81" s="310">
        <v>8845</v>
      </c>
      <c r="H81" s="320">
        <v>0</v>
      </c>
      <c r="I81" s="310">
        <v>8438</v>
      </c>
      <c r="J81" s="310"/>
      <c r="K81" s="310"/>
    </row>
    <row r="82" spans="1:24" ht="16.5" x14ac:dyDescent="0.25">
      <c r="A82" s="296"/>
      <c r="B82" s="553"/>
      <c r="C82" s="364" t="s">
        <v>9</v>
      </c>
      <c r="D82" s="309" t="s">
        <v>539</v>
      </c>
      <c r="E82" s="310">
        <v>2274</v>
      </c>
      <c r="F82" s="310">
        <v>2699</v>
      </c>
      <c r="G82" s="310">
        <v>2790</v>
      </c>
      <c r="H82" s="320">
        <v>0</v>
      </c>
      <c r="I82" s="310">
        <v>2303</v>
      </c>
      <c r="J82" s="310"/>
      <c r="K82" s="310"/>
    </row>
    <row r="83" spans="1:24" ht="16.5" x14ac:dyDescent="0.25">
      <c r="A83" s="296"/>
      <c r="B83" s="553"/>
      <c r="C83" s="364" t="s">
        <v>11</v>
      </c>
      <c r="D83" s="309" t="s">
        <v>203</v>
      </c>
      <c r="E83" s="310">
        <v>2459</v>
      </c>
      <c r="F83" s="310">
        <v>1752</v>
      </c>
      <c r="G83" s="310">
        <v>1752</v>
      </c>
      <c r="H83" s="320">
        <v>0</v>
      </c>
      <c r="I83" s="310">
        <v>1187</v>
      </c>
      <c r="J83" s="310"/>
      <c r="K83" s="310"/>
    </row>
    <row r="84" spans="1:24" ht="16.5" x14ac:dyDescent="0.25">
      <c r="A84" s="296"/>
      <c r="B84" s="553"/>
      <c r="C84" s="364" t="s">
        <v>13</v>
      </c>
      <c r="D84" s="309" t="s">
        <v>918</v>
      </c>
      <c r="E84" s="310"/>
      <c r="F84" s="310"/>
      <c r="G84" s="310"/>
      <c r="H84" s="320"/>
      <c r="I84" s="310"/>
      <c r="J84" s="310"/>
      <c r="K84" s="310"/>
    </row>
    <row r="85" spans="1:24" ht="16.5" x14ac:dyDescent="0.25">
      <c r="A85" s="296"/>
      <c r="B85" s="553"/>
      <c r="C85" s="364" t="s">
        <v>15</v>
      </c>
      <c r="D85" s="309" t="s">
        <v>919</v>
      </c>
      <c r="E85" s="310"/>
      <c r="F85" s="310"/>
      <c r="G85" s="310"/>
      <c r="H85" s="320"/>
      <c r="I85" s="310"/>
      <c r="J85" s="310"/>
      <c r="K85" s="310"/>
    </row>
    <row r="86" spans="1:24" ht="16.5" x14ac:dyDescent="0.25">
      <c r="A86" s="296"/>
      <c r="B86" s="553"/>
      <c r="C86" s="364" t="s">
        <v>17</v>
      </c>
      <c r="D86" s="309" t="s">
        <v>920</v>
      </c>
      <c r="E86" s="310"/>
      <c r="F86" s="310"/>
      <c r="G86" s="310"/>
      <c r="H86" s="320"/>
      <c r="I86" s="310"/>
      <c r="J86" s="310"/>
      <c r="K86" s="310"/>
    </row>
    <row r="87" spans="1:24" ht="16.5" x14ac:dyDescent="0.25">
      <c r="A87" s="296"/>
      <c r="B87" s="553"/>
      <c r="C87" s="364"/>
      <c r="D87" s="560" t="s">
        <v>921</v>
      </c>
      <c r="E87" s="559">
        <f t="shared" ref="E87:J87" si="13">SUM(E81:E86)</f>
        <v>11898</v>
      </c>
      <c r="F87" s="559">
        <f t="shared" si="13"/>
        <v>13011</v>
      </c>
      <c r="G87" s="559">
        <f t="shared" si="13"/>
        <v>13387</v>
      </c>
      <c r="H87" s="592">
        <f t="shared" si="13"/>
        <v>0</v>
      </c>
      <c r="I87" s="559">
        <f t="shared" si="13"/>
        <v>11928</v>
      </c>
      <c r="J87" s="559">
        <f t="shared" si="13"/>
        <v>0</v>
      </c>
      <c r="K87" s="559"/>
    </row>
    <row r="88" spans="1:24" ht="16.5" x14ac:dyDescent="0.25">
      <c r="A88" s="296"/>
      <c r="B88" s="548" t="s">
        <v>20</v>
      </c>
      <c r="C88" s="292"/>
      <c r="D88" s="561" t="s">
        <v>922</v>
      </c>
      <c r="E88" s="428">
        <v>3</v>
      </c>
      <c r="F88" s="428">
        <v>3</v>
      </c>
      <c r="G88" s="428">
        <v>3</v>
      </c>
      <c r="H88" s="428">
        <v>0</v>
      </c>
      <c r="I88" s="428">
        <v>3</v>
      </c>
      <c r="J88" s="428">
        <v>3</v>
      </c>
      <c r="K88" s="428"/>
    </row>
    <row r="89" spans="1:24" ht="17.25" x14ac:dyDescent="0.3">
      <c r="A89" s="547"/>
      <c r="B89" s="548"/>
      <c r="C89" s="291"/>
      <c r="D89" s="588" t="s">
        <v>981</v>
      </c>
      <c r="E89" s="589"/>
      <c r="F89" s="589"/>
      <c r="G89" s="589"/>
      <c r="H89" s="589"/>
      <c r="I89" s="590"/>
      <c r="J89" s="590"/>
      <c r="K89" s="590"/>
      <c r="L89" s="315" t="s">
        <v>982</v>
      </c>
      <c r="M89" s="593" t="s">
        <v>983</v>
      </c>
      <c r="N89" s="593" t="s">
        <v>984</v>
      </c>
      <c r="O89" s="594" t="s">
        <v>985</v>
      </c>
      <c r="P89" s="595" t="s">
        <v>986</v>
      </c>
      <c r="Q89" s="595" t="s">
        <v>987</v>
      </c>
      <c r="R89" s="596" t="s">
        <v>964</v>
      </c>
      <c r="S89" s="596" t="s">
        <v>988</v>
      </c>
      <c r="T89" s="596" t="s">
        <v>989</v>
      </c>
    </row>
    <row r="90" spans="1:24" ht="16.5" customHeight="1" x14ac:dyDescent="0.25">
      <c r="A90" s="296"/>
      <c r="B90" s="548" t="s">
        <v>5</v>
      </c>
      <c r="C90" s="363"/>
      <c r="D90" s="1622" t="s">
        <v>198</v>
      </c>
      <c r="E90" s="1622"/>
      <c r="F90" s="1622"/>
      <c r="G90" s="1622"/>
      <c r="H90" s="1622"/>
      <c r="I90" s="310"/>
      <c r="J90" s="310"/>
      <c r="K90" s="310"/>
      <c r="L90" s="309" t="s">
        <v>887</v>
      </c>
      <c r="M90" s="597" t="e">
        <f>SUM(#REF!,#REF!,#REF!,#REF!,#REF!,#REF!,#REF!,#REF!,#REF!,#REF!,#REF!,#REF!,#REF!,#REF!,#REF!,#REF!,#REF!,F2,F29,#REF!,F49,F74,F98,F122)</f>
        <v>#REF!</v>
      </c>
      <c r="N90" s="597">
        <f>SUM(H5+H31+H50+H71+H91+H109)</f>
        <v>10815</v>
      </c>
      <c r="O90" s="597" t="e">
        <f>SUM(#REF!+#REF!+#REF!+#REF!+#REF!+#REF!+#REF!+#REF!)</f>
        <v>#REF!</v>
      </c>
      <c r="P90" s="597" t="e">
        <f>SUM(#REF!+#REF!+#REF!+#REF!+#REF!+#REF!+#REF!+#REF!)</f>
        <v>#REF!</v>
      </c>
      <c r="Q90" s="597" t="e">
        <f>SUM(#REF!+#REF!+#REF!+#REF!+#REF!+#REF!+#REF!+#REF!)</f>
        <v>#REF!</v>
      </c>
      <c r="R90" s="597">
        <f>SUM(I5+I31+I50+I71+I91+I109+I126+I147)</f>
        <v>19150</v>
      </c>
      <c r="S90" s="597">
        <f>SUM(J5+J31+J50+J71+J91+J109+J126+J147)</f>
        <v>0</v>
      </c>
      <c r="T90" s="597" t="e">
        <f>SUM(#REF!+#REF!+#REF!+#REF!+#REF!+#REF!+#REF!+#REF!)</f>
        <v>#REF!</v>
      </c>
      <c r="U90" s="432"/>
    </row>
    <row r="91" spans="1:24" ht="16.5" x14ac:dyDescent="0.25">
      <c r="A91" s="296"/>
      <c r="B91" s="553"/>
      <c r="C91" s="291" t="s">
        <v>103</v>
      </c>
      <c r="D91" s="309" t="s">
        <v>887</v>
      </c>
      <c r="E91" s="310"/>
      <c r="F91" s="310"/>
      <c r="G91" s="310">
        <v>2</v>
      </c>
      <c r="H91" s="310">
        <v>0</v>
      </c>
      <c r="I91" s="310"/>
      <c r="J91" s="310"/>
      <c r="K91" s="310"/>
      <c r="L91" s="598" t="s">
        <v>990</v>
      </c>
      <c r="M91" s="335" t="e">
        <f>#REF!+#REF!+#REF!+#REF!+#REF!+#REF!+#REF!+#REF!+#REF!+#REF!+#REF!+#REF!+#REF!+#REF!+#REF!+#REF!+#REF!+E7+E30+#REF!+E55+E80+E104+E123</f>
        <v>#REF!</v>
      </c>
      <c r="N91" s="335">
        <f>SUM(H10+H32+H53+H72+H92+H110)</f>
        <v>0</v>
      </c>
      <c r="O91" s="335" t="e">
        <f>SUM(#REF!+#REF!+#REF!+#REF!+#REF!+#REF!+#REF!+#REF!)</f>
        <v>#REF!</v>
      </c>
      <c r="P91" s="335" t="e">
        <f>SUM(#REF!+#REF!+#REF!+#REF!+#REF!+#REF!+#REF!+#REF!)</f>
        <v>#REF!</v>
      </c>
      <c r="Q91" s="335" t="e">
        <f>SUM(#REF!+#REF!+#REF!+#REF!+#REF!+#REF!+#REF!+#REF!)</f>
        <v>#REF!</v>
      </c>
      <c r="R91" s="335">
        <f>SUM(I10+I32+I53+I72+I92+I110+I129+I148)</f>
        <v>0</v>
      </c>
      <c r="S91" s="335">
        <f>SUM(J10+J32+J53+J72+J92+J110+J129+J148)</f>
        <v>0</v>
      </c>
      <c r="T91" s="335" t="e">
        <f>SUM(#REF!+#REF!+#REF!+#REF!+#REF!+#REF!+#REF!+#REF!)</f>
        <v>#REF!</v>
      </c>
      <c r="U91" s="432"/>
    </row>
    <row r="92" spans="1:24" ht="15" customHeight="1" x14ac:dyDescent="0.25">
      <c r="A92" s="296"/>
      <c r="B92" s="553"/>
      <c r="C92" s="291" t="s">
        <v>105</v>
      </c>
      <c r="D92" s="309" t="s">
        <v>888</v>
      </c>
      <c r="E92" s="310">
        <v>0</v>
      </c>
      <c r="F92" s="310">
        <v>0</v>
      </c>
      <c r="G92" s="310">
        <v>0</v>
      </c>
      <c r="H92" s="310"/>
      <c r="I92" s="310"/>
      <c r="J92" s="310"/>
      <c r="K92" s="310"/>
      <c r="L92" s="309" t="s">
        <v>968</v>
      </c>
      <c r="M92" s="597"/>
      <c r="N92" s="597">
        <f>SUM(H9+H52)</f>
        <v>1803</v>
      </c>
      <c r="O92" s="597" t="e">
        <f>SUM(#REF!+#REF!+#REF!)</f>
        <v>#REF!</v>
      </c>
      <c r="P92" s="597" t="e">
        <f>SUM(#REF!+#REF!+#REF!)</f>
        <v>#REF!</v>
      </c>
      <c r="Q92" s="597" t="e">
        <f>SUM(#REF!+#REF!+#REF!)</f>
        <v>#REF!</v>
      </c>
      <c r="R92" s="597">
        <f>SUM(I9+I52+I128)</f>
        <v>0</v>
      </c>
      <c r="S92" s="597">
        <f>SUM(J9+J52+J128)</f>
        <v>0</v>
      </c>
      <c r="T92" s="597" t="e">
        <f>SUM(#REF!+#REF!+#REF!)</f>
        <v>#REF!</v>
      </c>
      <c r="U92" s="432"/>
    </row>
    <row r="93" spans="1:24" ht="16.5" x14ac:dyDescent="0.25">
      <c r="A93" s="296"/>
      <c r="B93" s="553"/>
      <c r="C93" s="291" t="s">
        <v>107</v>
      </c>
      <c r="D93" s="309" t="s">
        <v>889</v>
      </c>
      <c r="E93" s="310">
        <f t="shared" ref="E93:J93" si="14">SUM(E94+E97)</f>
        <v>27927</v>
      </c>
      <c r="F93" s="310">
        <f t="shared" si="14"/>
        <v>30134</v>
      </c>
      <c r="G93" s="310">
        <f t="shared" si="14"/>
        <v>31732</v>
      </c>
      <c r="H93" s="310">
        <f t="shared" si="14"/>
        <v>28884</v>
      </c>
      <c r="I93" s="310">
        <f t="shared" si="14"/>
        <v>29434</v>
      </c>
      <c r="J93" s="310">
        <f t="shared" si="14"/>
        <v>0</v>
      </c>
      <c r="K93" s="310"/>
      <c r="L93" s="309" t="s">
        <v>889</v>
      </c>
      <c r="M93" s="597" t="e">
        <f>SUM(#REF!,#REF!,#REF!,#REF!,#REF!,#REF!,#REF!,#REF!,#REF!,#REF!,#REF!,#REF!,#REF!,#REF!,#REF!,#REF!,#REF!,E8,E31,#REF!,E56,E81,E105,#REF!)</f>
        <v>#REF!</v>
      </c>
      <c r="N93" s="597">
        <f>SUM(H11+H33+H54+H73+H93+H111)</f>
        <v>326749</v>
      </c>
      <c r="O93" s="597" t="e">
        <f>SUM(#REF!+#REF!+#REF!+#REF!+#REF!+#REF!+#REF!+#REF!)</f>
        <v>#REF!</v>
      </c>
      <c r="P93" s="597" t="e">
        <f>SUM(#REF!+#REF!+#REF!+#REF!+#REF!+#REF!+#REF!+#REF!)</f>
        <v>#REF!</v>
      </c>
      <c r="Q93" s="597" t="e">
        <f>SUM(#REF!+#REF!+#REF!+#REF!+#REF!+#REF!+#REF!+#REF!)</f>
        <v>#REF!</v>
      </c>
      <c r="R93" s="597">
        <f t="shared" ref="R93:S97" si="15">SUM(I11+I33+I54+I73+I93+I111+I130+I149)</f>
        <v>524305</v>
      </c>
      <c r="S93" s="597">
        <f t="shared" si="15"/>
        <v>0</v>
      </c>
      <c r="T93" s="597" t="e">
        <f>SUM(#REF!+#REF!+#REF!+#REF!+#REF!+#REF!+#REF!+#REF!)</f>
        <v>#REF!</v>
      </c>
      <c r="U93" s="432"/>
    </row>
    <row r="94" spans="1:24" s="307" customFormat="1" ht="16.5" x14ac:dyDescent="0.25">
      <c r="A94" s="554"/>
      <c r="B94" s="555"/>
      <c r="C94" s="316" t="s">
        <v>397</v>
      </c>
      <c r="D94" s="313" t="s">
        <v>890</v>
      </c>
      <c r="E94" s="314">
        <f t="shared" ref="E94:J94" si="16">SUM(E95:E96)</f>
        <v>27927</v>
      </c>
      <c r="F94" s="314">
        <f t="shared" si="16"/>
        <v>30134</v>
      </c>
      <c r="G94" s="314">
        <f t="shared" si="16"/>
        <v>31732</v>
      </c>
      <c r="H94" s="314">
        <f t="shared" si="16"/>
        <v>28884</v>
      </c>
      <c r="I94" s="314">
        <f t="shared" si="16"/>
        <v>29434</v>
      </c>
      <c r="J94" s="314">
        <f t="shared" si="16"/>
        <v>0</v>
      </c>
      <c r="K94" s="314"/>
      <c r="L94" s="309" t="s">
        <v>890</v>
      </c>
      <c r="M94" s="597" t="e">
        <f>SUM(#REF!,#REF!,#REF!,#REF!,#REF!,#REF!,#REF!,#REF!,#REF!,#REF!,#REF!,#REF!,#REF!,#REF!,#REF!,#REF!,#REF!,E9,#REF!,E57,E82,E106,#REF!)</f>
        <v>#REF!</v>
      </c>
      <c r="N94" s="597">
        <f>SUM(H12+H34+H55+H74+H94+H112)</f>
        <v>326749</v>
      </c>
      <c r="O94" s="597" t="e">
        <f>SUM(#REF!+#REF!+#REF!+#REF!+#REF!+#REF!+#REF!+#REF!)</f>
        <v>#REF!</v>
      </c>
      <c r="P94" s="597" t="e">
        <f>SUM(#REF!+#REF!+#REF!+#REF!+#REF!+#REF!+#REF!+#REF!)</f>
        <v>#REF!</v>
      </c>
      <c r="Q94" s="597" t="e">
        <f>SUM(#REF!+#REF!+#REF!+#REF!+#REF!+#REF!+#REF!+#REF!)</f>
        <v>#REF!</v>
      </c>
      <c r="R94" s="597">
        <f t="shared" si="15"/>
        <v>524305</v>
      </c>
      <c r="S94" s="597">
        <f t="shared" si="15"/>
        <v>0</v>
      </c>
      <c r="T94" s="597" t="e">
        <f>SUM(#REF!+#REF!+#REF!+#REF!+#REF!+#REF!+#REF!+#REF!)</f>
        <v>#REF!</v>
      </c>
      <c r="U94" s="432"/>
      <c r="V94" s="286"/>
      <c r="W94" s="286"/>
      <c r="X94" s="566"/>
    </row>
    <row r="95" spans="1:24" ht="16.5" x14ac:dyDescent="0.25">
      <c r="A95" s="296"/>
      <c r="B95" s="553"/>
      <c r="C95" s="363" t="s">
        <v>891</v>
      </c>
      <c r="D95" s="309" t="s">
        <v>975</v>
      </c>
      <c r="E95" s="310">
        <v>19835</v>
      </c>
      <c r="F95" s="310">
        <v>20000</v>
      </c>
      <c r="G95" s="310">
        <v>20000</v>
      </c>
      <c r="H95" s="310">
        <v>20000</v>
      </c>
      <c r="I95" s="310">
        <v>22800</v>
      </c>
      <c r="J95" s="310"/>
      <c r="K95" s="310"/>
      <c r="L95" s="309" t="s">
        <v>991</v>
      </c>
      <c r="M95" s="597" t="e">
        <f>SUM(#REF!,#REF!,#REF!,#REF!,#REF!,#REF!,#REF!,#REF!,#REF!,#REF!,#REF!,#REF!,#REF!,#REF!,#REF!,#REF!,#REF!,E10,E33,#REF!,E58,E83,E107,#REF!)</f>
        <v>#REF!</v>
      </c>
      <c r="N95" s="597">
        <f>SUM(H13+H35+H56+H75+H95+H113)</f>
        <v>308410</v>
      </c>
      <c r="O95" s="597" t="e">
        <f>SUM(#REF!+#REF!+#REF!+#REF!+#REF!+#REF!+#REF!+#REF!)</f>
        <v>#REF!</v>
      </c>
      <c r="P95" s="597" t="e">
        <f>SUM(#REF!+#REF!+#REF!+#REF!+#REF!+#REF!+#REF!+#REF!)</f>
        <v>#REF!</v>
      </c>
      <c r="Q95" s="597" t="e">
        <f>SUM(#REF!+#REF!+#REF!+#REF!+#REF!+#REF!+#REF!+#REF!)</f>
        <v>#REF!</v>
      </c>
      <c r="R95" s="597">
        <f t="shared" si="15"/>
        <v>442256</v>
      </c>
      <c r="S95" s="597">
        <f t="shared" si="15"/>
        <v>0</v>
      </c>
      <c r="T95" s="597" t="e">
        <f>SUM(#REF!+#REF!+#REF!+#REF!+#REF!+#REF!+#REF!+#REF!)</f>
        <v>#REF!</v>
      </c>
      <c r="U95" s="432"/>
      <c r="V95" s="335"/>
    </row>
    <row r="96" spans="1:24" ht="16.5" x14ac:dyDescent="0.25">
      <c r="A96" s="296"/>
      <c r="B96" s="553"/>
      <c r="C96" s="363" t="s">
        <v>901</v>
      </c>
      <c r="D96" s="309" t="s">
        <v>970</v>
      </c>
      <c r="E96" s="310">
        <v>8092</v>
      </c>
      <c r="F96" s="310">
        <v>10134</v>
      </c>
      <c r="G96" s="310">
        <v>11732</v>
      </c>
      <c r="H96" s="310">
        <v>8884</v>
      </c>
      <c r="I96" s="310">
        <v>6634</v>
      </c>
      <c r="J96" s="310"/>
      <c r="K96" s="310"/>
      <c r="L96" s="309" t="s">
        <v>970</v>
      </c>
      <c r="M96" s="597" t="e">
        <f>SUM(#REF!,#REF!,#REF!,#REF!,#REF!,#REF!,#REF!,#REF!,#REF!,#REF!,#REF!,#REF!,#REF!,#REF!,#REF!,#REF!,#REF!,E11,E34,#REF!,E59,E84,E108,E167)</f>
        <v>#REF!</v>
      </c>
      <c r="N96" s="597">
        <f>SUM(H14+H36+H57+H76+H96+H114)</f>
        <v>18339</v>
      </c>
      <c r="O96" s="599" t="e">
        <f>SUM(#REF!+#REF!+#REF!+#REF!+#REF!+#REF!+#REF!+#REF!)</f>
        <v>#REF!</v>
      </c>
      <c r="P96" s="599" t="e">
        <f>SUM(#REF!+#REF!+#REF!+#REF!+#REF!+#REF!+#REF!+#REF!)</f>
        <v>#REF!</v>
      </c>
      <c r="Q96" s="599" t="e">
        <f>SUM(#REF!+#REF!+#REF!+#REF!+#REF!+#REF!+#REF!+#REF!)</f>
        <v>#REF!</v>
      </c>
      <c r="R96" s="599">
        <f t="shared" si="15"/>
        <v>82049</v>
      </c>
      <c r="S96" s="599">
        <f t="shared" si="15"/>
        <v>0</v>
      </c>
      <c r="T96" s="599" t="e">
        <f>SUM(#REF!+#REF!+#REF!+#REF!+#REF!+#REF!+#REF!+#REF!)</f>
        <v>#REF!</v>
      </c>
      <c r="U96" s="335"/>
      <c r="V96" s="335"/>
    </row>
    <row r="97" spans="1:24" ht="16.5" x14ac:dyDescent="0.25">
      <c r="A97" s="296"/>
      <c r="B97" s="553"/>
      <c r="C97" s="363" t="s">
        <v>398</v>
      </c>
      <c r="D97" s="309" t="s">
        <v>971</v>
      </c>
      <c r="E97" s="310"/>
      <c r="F97" s="310"/>
      <c r="G97" s="310"/>
      <c r="H97" s="310">
        <v>0</v>
      </c>
      <c r="I97" s="310"/>
      <c r="J97" s="310"/>
      <c r="K97" s="310"/>
      <c r="L97" s="309" t="s">
        <v>971</v>
      </c>
      <c r="M97" s="597" t="e">
        <f>SUM(#REF!,#REF!,#REF!,#REF!,#REF!,#REF!,#REF!,#REF!,#REF!,#REF!,#REF!,#REF!,#REF!,#REF!,#REF!,#REF!,E12,E35,#REF!,E61,E85,E109,E168)</f>
        <v>#REF!</v>
      </c>
      <c r="N97" s="597">
        <f>SUM(H15+H37+H58+H77+H97+H115)</f>
        <v>0</v>
      </c>
      <c r="O97" s="599" t="e">
        <f>SUM(#REF!+#REF!+#REF!+#REF!+#REF!+#REF!+#REF!+#REF!)</f>
        <v>#REF!</v>
      </c>
      <c r="P97" s="599" t="e">
        <f>SUM(#REF!+#REF!+#REF!+#REF!+#REF!+#REF!+#REF!+#REF!)</f>
        <v>#REF!</v>
      </c>
      <c r="Q97" s="599" t="e">
        <f>SUM(#REF!+#REF!+#REF!+#REF!+#REF!+#REF!+#REF!+#REF!)</f>
        <v>#REF!</v>
      </c>
      <c r="R97" s="599">
        <f t="shared" si="15"/>
        <v>0</v>
      </c>
      <c r="S97" s="599">
        <f t="shared" si="15"/>
        <v>0</v>
      </c>
      <c r="T97" s="599" t="e">
        <f>SUM(#REF!+#REF!+#REF!+#REF!+#REF!+#REF!+#REF!+#REF!)</f>
        <v>#REF!</v>
      </c>
      <c r="V97" s="335"/>
      <c r="W97" s="335"/>
    </row>
    <row r="98" spans="1:24" ht="16.5" x14ac:dyDescent="0.25">
      <c r="A98" s="296"/>
      <c r="B98" s="553"/>
      <c r="C98" s="363"/>
      <c r="D98" s="558" t="s">
        <v>910</v>
      </c>
      <c r="E98" s="559">
        <f t="shared" ref="E98:J98" si="17">SUM(E91+E93+E92)</f>
        <v>27927</v>
      </c>
      <c r="F98" s="559">
        <f t="shared" si="17"/>
        <v>30134</v>
      </c>
      <c r="G98" s="559">
        <f t="shared" si="17"/>
        <v>31734</v>
      </c>
      <c r="H98" s="559">
        <f t="shared" si="17"/>
        <v>28884</v>
      </c>
      <c r="I98" s="559">
        <f t="shared" si="17"/>
        <v>29434</v>
      </c>
      <c r="J98" s="559">
        <f t="shared" si="17"/>
        <v>0</v>
      </c>
      <c r="K98" s="559"/>
      <c r="L98" s="355" t="s">
        <v>972</v>
      </c>
      <c r="M98" s="597"/>
      <c r="N98" s="597"/>
      <c r="O98" s="597"/>
      <c r="P98" s="597" t="e">
        <f>#REF!</f>
        <v>#REF!</v>
      </c>
      <c r="Q98" s="597" t="e">
        <f>#REF!</f>
        <v>#REF!</v>
      </c>
      <c r="R98" s="597">
        <f>I16</f>
        <v>0</v>
      </c>
      <c r="S98" s="597">
        <f>J16</f>
        <v>0</v>
      </c>
      <c r="T98" s="597" t="e">
        <f>#REF!</f>
        <v>#REF!</v>
      </c>
      <c r="V98" s="335"/>
    </row>
    <row r="99" spans="1:24" ht="16.5" customHeight="1" x14ac:dyDescent="0.25">
      <c r="A99" s="296"/>
      <c r="B99" s="548" t="s">
        <v>6</v>
      </c>
      <c r="C99" s="364"/>
      <c r="D99" s="1622" t="s">
        <v>199</v>
      </c>
      <c r="E99" s="1622"/>
      <c r="F99" s="1622"/>
      <c r="G99" s="1622"/>
      <c r="H99" s="1622"/>
      <c r="I99" s="310"/>
      <c r="J99" s="310"/>
      <c r="K99" s="310"/>
      <c r="L99" s="355" t="s">
        <v>458</v>
      </c>
      <c r="P99" s="597" t="e">
        <f>#REF!+#REF!</f>
        <v>#REF!</v>
      </c>
      <c r="Q99" s="597" t="e">
        <f>#REF!+#REF!</f>
        <v>#REF!</v>
      </c>
      <c r="R99" s="597">
        <f>I17+I78</f>
        <v>0</v>
      </c>
      <c r="S99" s="597">
        <f>J17+J78</f>
        <v>0</v>
      </c>
      <c r="T99" s="597" t="e">
        <f>#REF!+#REF!</f>
        <v>#REF!</v>
      </c>
      <c r="U99" s="335"/>
      <c r="V99" s="335"/>
    </row>
    <row r="100" spans="1:24" ht="16.5" customHeight="1" x14ac:dyDescent="0.25">
      <c r="A100" s="296"/>
      <c r="B100" s="548"/>
      <c r="C100" s="364"/>
      <c r="D100" s="551"/>
      <c r="E100" s="551"/>
      <c r="F100" s="551"/>
      <c r="G100" s="551"/>
      <c r="H100" s="551"/>
      <c r="I100" s="310"/>
      <c r="J100" s="310"/>
      <c r="K100" s="310"/>
      <c r="L100" s="355" t="s">
        <v>1477</v>
      </c>
      <c r="P100" s="597"/>
      <c r="Q100" s="597"/>
      <c r="R100" s="597">
        <f>I18</f>
        <v>0</v>
      </c>
      <c r="S100" s="597">
        <f>J18</f>
        <v>0</v>
      </c>
      <c r="T100" s="597" t="e">
        <f>#REF!</f>
        <v>#REF!</v>
      </c>
      <c r="U100" s="335"/>
      <c r="V100" s="335"/>
    </row>
    <row r="101" spans="1:24" ht="16.5" x14ac:dyDescent="0.25">
      <c r="A101" s="296"/>
      <c r="B101" s="553"/>
      <c r="C101" s="364" t="s">
        <v>7</v>
      </c>
      <c r="D101" s="309" t="s">
        <v>538</v>
      </c>
      <c r="E101" s="310">
        <v>17861</v>
      </c>
      <c r="F101" s="310">
        <v>18148</v>
      </c>
      <c r="G101" s="310">
        <v>19341</v>
      </c>
      <c r="H101" s="310">
        <v>17173</v>
      </c>
      <c r="I101" s="310">
        <v>19012</v>
      </c>
      <c r="J101" s="310"/>
      <c r="K101" s="310"/>
      <c r="L101" s="558" t="s">
        <v>910</v>
      </c>
      <c r="M101" s="600" t="e">
        <f>SUM(M90:M93)</f>
        <v>#REF!</v>
      </c>
      <c r="N101" s="600">
        <f>SUM(N90+N91+N93)</f>
        <v>337564</v>
      </c>
      <c r="O101" s="600" t="e">
        <f>SUM(O90+O91+O93)</f>
        <v>#REF!</v>
      </c>
      <c r="P101" s="600" t="e">
        <f>SUM(P90+P91+P93)</f>
        <v>#REF!</v>
      </c>
      <c r="Q101" s="600" t="e">
        <f>SUM(Q90+Q91+Q93+Q98+Q99)</f>
        <v>#REF!</v>
      </c>
      <c r="R101" s="600">
        <f>SUM(R90+R91+R93+R98+R99+R92)</f>
        <v>543455</v>
      </c>
      <c r="S101" s="600">
        <f>SUM(S90+S91+S93+S98+S99+S92)</f>
        <v>0</v>
      </c>
      <c r="T101" s="600" t="e">
        <f>SUM(T90+T91+T93+T98+T99+T92+T100)</f>
        <v>#REF!</v>
      </c>
      <c r="V101" s="335"/>
    </row>
    <row r="102" spans="1:24" ht="16.5" x14ac:dyDescent="0.25">
      <c r="A102" s="296"/>
      <c r="B102" s="553"/>
      <c r="C102" s="364" t="s">
        <v>9</v>
      </c>
      <c r="D102" s="309" t="s">
        <v>539</v>
      </c>
      <c r="E102" s="310">
        <v>5645</v>
      </c>
      <c r="F102" s="310">
        <v>5679</v>
      </c>
      <c r="G102" s="310">
        <v>6008</v>
      </c>
      <c r="H102" s="310">
        <v>5372</v>
      </c>
      <c r="I102" s="310">
        <v>5190</v>
      </c>
      <c r="J102" s="310"/>
      <c r="K102" s="310"/>
      <c r="L102" s="561" t="s">
        <v>199</v>
      </c>
      <c r="M102" s="597"/>
      <c r="N102" s="597"/>
      <c r="O102" s="599"/>
      <c r="P102" s="599"/>
      <c r="Q102" s="599"/>
      <c r="R102" s="599"/>
      <c r="S102" s="599"/>
      <c r="T102" s="599"/>
      <c r="V102" s="335"/>
      <c r="W102" s="335"/>
      <c r="X102" s="335"/>
    </row>
    <row r="103" spans="1:24" ht="16.5" x14ac:dyDescent="0.25">
      <c r="A103" s="296"/>
      <c r="B103" s="553"/>
      <c r="C103" s="364" t="s">
        <v>11</v>
      </c>
      <c r="D103" s="309" t="s">
        <v>203</v>
      </c>
      <c r="E103" s="310">
        <v>4421</v>
      </c>
      <c r="F103" s="310">
        <v>6307</v>
      </c>
      <c r="G103" s="310">
        <v>6385</v>
      </c>
      <c r="H103" s="310">
        <v>6339</v>
      </c>
      <c r="I103" s="310">
        <v>5232</v>
      </c>
      <c r="J103" s="310"/>
      <c r="K103" s="310"/>
      <c r="L103" s="355" t="s">
        <v>538</v>
      </c>
      <c r="M103" s="601" t="e">
        <f>SUM(E171+E112+E88+E64+#REF!+E38+E15+#REF!+#REF!+#REF!+#REF!+#REF!+#REF!+#REF!+#REF!+#REF!+#REF!+#REF!+#REF!+#REF!+#REF!+#REF!+#REF!+#REF!+#REF!+#REF!+#REF!+#REF!+#REF!+#REF!+#REF!+#REF!+#REF!+#REF!+#REF!+#REF!+#REF!+#REF!+#REF!+#REF!+#REF!+#REF!+#REF!+#REF!+#REF!+#REF!)</f>
        <v>#REF!</v>
      </c>
      <c r="N103" s="601">
        <f>SUM(H21+H40+H61+H81+H101+H118)</f>
        <v>132408</v>
      </c>
      <c r="O103" s="601" t="e">
        <f>SUM(#REF!+#REF!+#REF!+#REF!+#REF!+#REF!+#REF!+#REF!)</f>
        <v>#REF!</v>
      </c>
      <c r="P103" s="601" t="e">
        <f>SUM(#REF!+#REF!+#REF!+#REF!+#REF!+#REF!+#REF!+#REF!)</f>
        <v>#REF!</v>
      </c>
      <c r="Q103" s="601" t="e">
        <f>SUM(#REF!+#REF!+#REF!+#REF!+#REF!+#REF!+#REF!+#REF!)</f>
        <v>#REF!</v>
      </c>
      <c r="R103" s="601">
        <f>SUM(I21+I40+I61+I81+I101+I118+I137+I156)</f>
        <v>168529</v>
      </c>
      <c r="S103" s="601">
        <f>SUM(J21+J40+J61+J81+J101+J118+J137+J156)</f>
        <v>0</v>
      </c>
      <c r="T103" s="601" t="e">
        <f>SUM(#REF!+#REF!+#REF!+#REF!+#REF!+#REF!+#REF!+#REF!)</f>
        <v>#REF!</v>
      </c>
    </row>
    <row r="104" spans="1:24" ht="16.5" x14ac:dyDescent="0.25">
      <c r="A104" s="296"/>
      <c r="B104" s="553"/>
      <c r="C104" s="364" t="s">
        <v>13</v>
      </c>
      <c r="D104" s="309" t="s">
        <v>919</v>
      </c>
      <c r="E104" s="310"/>
      <c r="F104" s="310"/>
      <c r="G104" s="310"/>
      <c r="H104" s="310"/>
      <c r="I104" s="310"/>
      <c r="J104" s="310"/>
      <c r="K104" s="310"/>
      <c r="L104" s="355" t="s">
        <v>539</v>
      </c>
      <c r="M104" s="597"/>
      <c r="N104" s="597">
        <f>SUM(H22+H41+H62+H82+H102+H119)</f>
        <v>40789</v>
      </c>
      <c r="O104" s="597" t="e">
        <f>SUM(#REF!+#REF!+#REF!+#REF!+#REF!+#REF!+#REF!+#REF!)</f>
        <v>#REF!</v>
      </c>
      <c r="P104" s="597" t="e">
        <f>SUM(#REF!+#REF!+#REF!+#REF!+#REF!+#REF!+#REF!+#REF!)</f>
        <v>#REF!</v>
      </c>
      <c r="Q104" s="597" t="e">
        <f>SUM(#REF!+#REF!+#REF!+#REF!+#REF!+#REF!+#REF!+#REF!)</f>
        <v>#REF!</v>
      </c>
      <c r="R104" s="597">
        <f>SUM(I22+I41+I62+I82+I102+I119+I138+I157)</f>
        <v>49730</v>
      </c>
      <c r="S104" s="597">
        <f>SUM(J22+J41+J62+J82+J102+J119+J138+J157)</f>
        <v>0</v>
      </c>
      <c r="T104" s="597" t="e">
        <f>SUM(#REF!+#REF!+#REF!+#REF!+#REF!+#REF!+#REF!+#REF!)</f>
        <v>#REF!</v>
      </c>
    </row>
    <row r="105" spans="1:24" ht="16.5" x14ac:dyDescent="0.25">
      <c r="A105" s="296"/>
      <c r="B105" s="553"/>
      <c r="C105" s="364"/>
      <c r="D105" s="560" t="s">
        <v>921</v>
      </c>
      <c r="E105" s="559">
        <f t="shared" ref="E105:J105" si="18">SUM(E101:E104)</f>
        <v>27927</v>
      </c>
      <c r="F105" s="559">
        <f t="shared" si="18"/>
        <v>30134</v>
      </c>
      <c r="G105" s="559">
        <f t="shared" si="18"/>
        <v>31734</v>
      </c>
      <c r="H105" s="559">
        <f t="shared" si="18"/>
        <v>28884</v>
      </c>
      <c r="I105" s="559">
        <f t="shared" si="18"/>
        <v>29434</v>
      </c>
      <c r="J105" s="559">
        <f t="shared" si="18"/>
        <v>0</v>
      </c>
      <c r="K105" s="559"/>
      <c r="L105" s="355" t="s">
        <v>203</v>
      </c>
      <c r="M105" s="597"/>
      <c r="N105" s="597">
        <f>SUM(H120+H103+H83+H63+H42+H23)</f>
        <v>164367</v>
      </c>
      <c r="O105" s="597" t="e">
        <f>SUM(#REF!+#REF!+#REF!+#REF!+#REF!+#REF!+#REF!+#REF!)</f>
        <v>#REF!</v>
      </c>
      <c r="P105" s="597" t="e">
        <f>SUM(#REF!+#REF!+#REF!+#REF!+#REF!+#REF!+#REF!+#REF!)</f>
        <v>#REF!</v>
      </c>
      <c r="Q105" s="597" t="e">
        <f>SUM(#REF!+#REF!+#REF!+#REF!+#REF!+#REF!+#REF!+#REF!)</f>
        <v>#REF!</v>
      </c>
      <c r="R105" s="597">
        <f>SUM(I120+I103+I83+I63+I42+I23+I139+I158)</f>
        <v>325196</v>
      </c>
      <c r="S105" s="597">
        <f>SUM(J120+J103+J83+J63+J42+J23+J139+J158)</f>
        <v>0</v>
      </c>
      <c r="T105" s="597" t="e">
        <f>SUM(#REF!+#REF!+#REF!+#REF!+#REF!+#REF!+#REF!+#REF!)</f>
        <v>#REF!</v>
      </c>
      <c r="V105" s="335"/>
      <c r="W105" s="335"/>
      <c r="X105" s="335"/>
    </row>
    <row r="106" spans="1:24" ht="16.5" x14ac:dyDescent="0.25">
      <c r="A106" s="296"/>
      <c r="B106" s="548" t="s">
        <v>20</v>
      </c>
      <c r="C106" s="292"/>
      <c r="D106" s="561" t="s">
        <v>922</v>
      </c>
      <c r="E106" s="423">
        <v>7.5</v>
      </c>
      <c r="F106" s="423">
        <v>7.5</v>
      </c>
      <c r="G106" s="423">
        <v>7.5</v>
      </c>
      <c r="H106" s="423">
        <v>7</v>
      </c>
      <c r="I106" s="423">
        <v>7</v>
      </c>
      <c r="J106" s="423">
        <v>7</v>
      </c>
      <c r="K106" s="423"/>
      <c r="L106" s="355" t="s">
        <v>918</v>
      </c>
      <c r="M106" s="601" t="e">
        <f>SUM(#REF!,#REF!,#REF!,#REF!,#REF!,#REF!,#REF!,#REF!,#REF!,#REF!,#REF!,#REF!,#REF!,#REF!,E21,E41,#REF!,E67,E91,E115,E175,#REF!)</f>
        <v>#REF!</v>
      </c>
      <c r="N106" s="601">
        <f>SUM(H24+H43+H64+H84)</f>
        <v>0</v>
      </c>
      <c r="O106" s="601" t="e">
        <f>SUM(#REF!+#REF!+#REF!+#REF!+#REF!+#REF!)</f>
        <v>#REF!</v>
      </c>
      <c r="P106" s="601" t="e">
        <f>SUM(#REF!+#REF!+#REF!+#REF!+#REF!+#REF!)</f>
        <v>#REF!</v>
      </c>
      <c r="Q106" s="601" t="e">
        <f>SUM(#REF!+#REF!+#REF!+#REF!+#REF!+#REF!)</f>
        <v>#REF!</v>
      </c>
      <c r="R106" s="601">
        <f>SUM(I24+I43+I64+I84+I140+I159)</f>
        <v>0</v>
      </c>
      <c r="S106" s="601">
        <f>SUM(J24+J43+J64+J84+J140+J159)</f>
        <v>0</v>
      </c>
      <c r="T106" s="601" t="e">
        <f>SUM(#REF!+#REF!+#REF!+#REF!+#REF!+#REF!)</f>
        <v>#REF!</v>
      </c>
    </row>
    <row r="107" spans="1:24" ht="17.25" x14ac:dyDescent="0.3">
      <c r="A107" s="547"/>
      <c r="B107" s="548"/>
      <c r="C107" s="291"/>
      <c r="D107" s="588" t="s">
        <v>992</v>
      </c>
      <c r="E107" s="589"/>
      <c r="F107" s="589"/>
      <c r="G107" s="589"/>
      <c r="H107" s="589"/>
      <c r="I107" s="590"/>
      <c r="J107" s="590"/>
      <c r="K107" s="590"/>
      <c r="L107" s="355" t="s">
        <v>919</v>
      </c>
      <c r="M107" s="601" t="e">
        <f>SUM(#REF!,#REF!,#REF!,#REF!,#REF!,#REF!,#REF!,#REF!,#REF!,#REF!,#REF!,#REF!,#REF!,#REF!,E22,E42,#REF!,E68,E92,E116,E164,#REF!)</f>
        <v>#REF!</v>
      </c>
      <c r="N107" s="601">
        <f>SUM(H121+H104+H85+H65+H44+H25)</f>
        <v>0</v>
      </c>
      <c r="O107" s="601" t="e">
        <f>SUM(#REF!+#REF!+#REF!+#REF!+#REF!+#REF!+#REF!+#REF!)</f>
        <v>#REF!</v>
      </c>
      <c r="P107" s="601" t="e">
        <f>SUM(#REF!+#REF!+#REF!+#REF!+#REF!+#REF!+#REF!+#REF!)</f>
        <v>#REF!</v>
      </c>
      <c r="Q107" s="601" t="e">
        <f>SUM(#REF!+#REF!+#REF!+#REF!+#REF!+#REF!+#REF!+#REF!)</f>
        <v>#REF!</v>
      </c>
      <c r="R107" s="601">
        <f>SUM(I121+I104+I85+I65+I44+I25+I141+I160)</f>
        <v>0</v>
      </c>
      <c r="S107" s="601">
        <f>SUM(J121+J104+J85+J65+J44+J25+J141+J160)</f>
        <v>0</v>
      </c>
      <c r="T107" s="601" t="e">
        <f>SUM(#REF!+#REF!+#REF!+#REF!+#REF!+#REF!+#REF!+#REF!)</f>
        <v>#REF!</v>
      </c>
    </row>
    <row r="108" spans="1:24" ht="16.5" customHeight="1" x14ac:dyDescent="0.25">
      <c r="A108" s="296"/>
      <c r="B108" s="548" t="s">
        <v>5</v>
      </c>
      <c r="C108" s="363"/>
      <c r="D108" s="1622" t="s">
        <v>198</v>
      </c>
      <c r="E108" s="1622"/>
      <c r="F108" s="1622"/>
      <c r="G108" s="1622"/>
      <c r="H108" s="1622"/>
      <c r="I108" s="310"/>
      <c r="J108" s="310"/>
      <c r="K108" s="310"/>
      <c r="L108" s="355" t="s">
        <v>973</v>
      </c>
      <c r="M108" s="601" t="e">
        <f>SUM(#REF!,#REF!,#REF!,#REF!,#REF!,#REF!,#REF!,#REF!,#REF!,#REF!,#REF!,#REF!,#REF!,#REF!,E23,E44,#REF!,E69,E93,E117,E165,#REF!)</f>
        <v>#REF!</v>
      </c>
      <c r="N108" s="601"/>
      <c r="O108" s="601" t="e">
        <f>#REF!+#REF!+#REF!+#REF!+#REF!+#REF!</f>
        <v>#REF!</v>
      </c>
      <c r="P108" s="601" t="e">
        <f>#REF!+#REF!+#REF!+#REF!+#REF!+#REF!</f>
        <v>#REF!</v>
      </c>
      <c r="Q108" s="601" t="e">
        <f>#REF!+#REF!+#REF!+#REF!+#REF!+#REF!</f>
        <v>#REF!</v>
      </c>
      <c r="R108" s="601">
        <f>I26+I45+I66+I86+I142+I161</f>
        <v>0</v>
      </c>
      <c r="S108" s="601">
        <f>J26+J45+J66+J86+J142+J161</f>
        <v>0</v>
      </c>
      <c r="T108" s="601" t="e">
        <f>#REF!+#REF!+#REF!+#REF!+#REF!+#REF!</f>
        <v>#REF!</v>
      </c>
    </row>
    <row r="109" spans="1:24" ht="16.5" x14ac:dyDescent="0.25">
      <c r="A109" s="296"/>
      <c r="B109" s="553"/>
      <c r="C109" s="291" t="s">
        <v>103</v>
      </c>
      <c r="D109" s="309" t="s">
        <v>887</v>
      </c>
      <c r="E109" s="310"/>
      <c r="F109" s="310"/>
      <c r="G109" s="310">
        <v>2</v>
      </c>
      <c r="H109" s="320">
        <v>0</v>
      </c>
      <c r="I109" s="310">
        <v>1800</v>
      </c>
      <c r="J109" s="310"/>
      <c r="K109" s="310"/>
      <c r="L109" s="560" t="s">
        <v>993</v>
      </c>
      <c r="M109" s="559" t="e">
        <f>SUM(M103,#REF!,#REF!,#REF!,M106,M107,M108)</f>
        <v>#REF!</v>
      </c>
      <c r="N109" s="559"/>
      <c r="O109" s="559"/>
      <c r="P109" s="559"/>
      <c r="Q109" s="559"/>
      <c r="R109" s="559"/>
      <c r="S109" s="559"/>
      <c r="T109" s="559"/>
    </row>
    <row r="110" spans="1:24" ht="16.5" x14ac:dyDescent="0.25">
      <c r="A110" s="296"/>
      <c r="B110" s="553"/>
      <c r="C110" s="291" t="s">
        <v>105</v>
      </c>
      <c r="D110" s="598" t="s">
        <v>994</v>
      </c>
      <c r="E110" s="310">
        <v>0</v>
      </c>
      <c r="F110" s="310">
        <v>0</v>
      </c>
      <c r="G110" s="310">
        <v>0</v>
      </c>
      <c r="H110" s="320"/>
      <c r="I110" s="310"/>
      <c r="J110" s="310"/>
      <c r="K110" s="310"/>
      <c r="L110" s="560" t="s">
        <v>921</v>
      </c>
      <c r="M110" s="559" t="e">
        <f>SUM(M104,#REF!,#REF!,#REF!,M107,M108,M109)</f>
        <v>#REF!</v>
      </c>
      <c r="N110" s="559">
        <f t="shared" ref="N110:T110" si="19">SUM(N103:N109)</f>
        <v>337564</v>
      </c>
      <c r="O110" s="559" t="e">
        <f t="shared" si="19"/>
        <v>#REF!</v>
      </c>
      <c r="P110" s="559" t="e">
        <f t="shared" si="19"/>
        <v>#REF!</v>
      </c>
      <c r="Q110" s="559" t="e">
        <f t="shared" si="19"/>
        <v>#REF!</v>
      </c>
      <c r="R110" s="559">
        <f t="shared" si="19"/>
        <v>543455</v>
      </c>
      <c r="S110" s="559">
        <f t="shared" si="19"/>
        <v>0</v>
      </c>
      <c r="T110" s="559" t="e">
        <f t="shared" si="19"/>
        <v>#REF!</v>
      </c>
      <c r="V110" s="335"/>
    </row>
    <row r="111" spans="1:24" ht="16.5" x14ac:dyDescent="0.25">
      <c r="A111" s="296"/>
      <c r="B111" s="553"/>
      <c r="C111" s="291" t="s">
        <v>107</v>
      </c>
      <c r="D111" s="309" t="s">
        <v>889</v>
      </c>
      <c r="E111" s="310">
        <f t="shared" ref="E111:J111" si="20">SUM(E112+E115)</f>
        <v>27927</v>
      </c>
      <c r="F111" s="310">
        <f t="shared" si="20"/>
        <v>30134</v>
      </c>
      <c r="G111" s="310">
        <f t="shared" si="20"/>
        <v>31732</v>
      </c>
      <c r="H111" s="320">
        <f t="shared" si="20"/>
        <v>0</v>
      </c>
      <c r="I111" s="310">
        <f t="shared" si="20"/>
        <v>26394</v>
      </c>
      <c r="J111" s="310">
        <f t="shared" si="20"/>
        <v>0</v>
      </c>
      <c r="K111" s="310"/>
      <c r="L111" s="602" t="s">
        <v>995</v>
      </c>
      <c r="N111" s="335">
        <f>SUM(H166)</f>
        <v>69</v>
      </c>
      <c r="O111" s="335" t="e">
        <f>SUM(#REF!)</f>
        <v>#REF!</v>
      </c>
      <c r="P111" s="335" t="e">
        <f>SUM(#REF!)</f>
        <v>#REF!</v>
      </c>
      <c r="Q111" s="335" t="e">
        <f>SUM(#REF!)</f>
        <v>#REF!</v>
      </c>
      <c r="R111" s="335">
        <f>SUM(I166)</f>
        <v>73</v>
      </c>
      <c r="S111" s="335">
        <f>SUM(J166)</f>
        <v>73</v>
      </c>
      <c r="T111" s="335" t="e">
        <f>SUM(#REF!)</f>
        <v>#REF!</v>
      </c>
    </row>
    <row r="112" spans="1:24" ht="16.5" x14ac:dyDescent="0.25">
      <c r="A112" s="554"/>
      <c r="B112" s="555"/>
      <c r="C112" s="316" t="s">
        <v>397</v>
      </c>
      <c r="D112" s="313" t="s">
        <v>890</v>
      </c>
      <c r="E112" s="314">
        <f t="shared" ref="E112:J112" si="21">SUM(E113:E114)</f>
        <v>27927</v>
      </c>
      <c r="F112" s="314">
        <f t="shared" si="21"/>
        <v>30134</v>
      </c>
      <c r="G112" s="314">
        <f t="shared" si="21"/>
        <v>31732</v>
      </c>
      <c r="H112" s="591">
        <f t="shared" si="21"/>
        <v>0</v>
      </c>
      <c r="I112" s="314">
        <f t="shared" si="21"/>
        <v>26394</v>
      </c>
      <c r="J112" s="314">
        <f t="shared" si="21"/>
        <v>0</v>
      </c>
      <c r="K112" s="314"/>
    </row>
    <row r="113" spans="1:11" ht="16.5" x14ac:dyDescent="0.25">
      <c r="A113" s="296"/>
      <c r="B113" s="553"/>
      <c r="C113" s="363" t="s">
        <v>891</v>
      </c>
      <c r="D113" s="309" t="s">
        <v>975</v>
      </c>
      <c r="E113" s="310">
        <v>19835</v>
      </c>
      <c r="F113" s="310">
        <v>20000</v>
      </c>
      <c r="G113" s="310">
        <v>20000</v>
      </c>
      <c r="H113" s="320"/>
      <c r="I113" s="310"/>
      <c r="J113" s="310"/>
      <c r="K113" s="310"/>
    </row>
    <row r="114" spans="1:11" ht="16.5" x14ac:dyDescent="0.25">
      <c r="A114" s="296"/>
      <c r="B114" s="553"/>
      <c r="C114" s="363" t="s">
        <v>901</v>
      </c>
      <c r="D114" s="309" t="s">
        <v>970</v>
      </c>
      <c r="E114" s="310">
        <v>8092</v>
      </c>
      <c r="F114" s="310">
        <v>10134</v>
      </c>
      <c r="G114" s="310">
        <v>11732</v>
      </c>
      <c r="H114" s="320"/>
      <c r="I114" s="310">
        <v>26394</v>
      </c>
      <c r="J114" s="310"/>
      <c r="K114" s="310"/>
    </row>
    <row r="115" spans="1:11" ht="16.5" x14ac:dyDescent="0.25">
      <c r="A115" s="296"/>
      <c r="B115" s="553"/>
      <c r="C115" s="363" t="s">
        <v>398</v>
      </c>
      <c r="D115" s="309" t="s">
        <v>1478</v>
      </c>
      <c r="E115" s="310"/>
      <c r="F115" s="310"/>
      <c r="G115" s="310"/>
      <c r="H115" s="320">
        <v>0</v>
      </c>
      <c r="I115" s="310"/>
      <c r="J115" s="310"/>
      <c r="K115" s="310"/>
    </row>
    <row r="116" spans="1:11" ht="16.5" x14ac:dyDescent="0.25">
      <c r="A116" s="296"/>
      <c r="B116" s="553"/>
      <c r="C116" s="363"/>
      <c r="D116" s="558" t="s">
        <v>910</v>
      </c>
      <c r="E116" s="559">
        <f t="shared" ref="E116:J116" si="22">SUM(E109+E111+E110)</f>
        <v>27927</v>
      </c>
      <c r="F116" s="559">
        <f t="shared" si="22"/>
        <v>30134</v>
      </c>
      <c r="G116" s="559">
        <f t="shared" si="22"/>
        <v>31734</v>
      </c>
      <c r="H116" s="592">
        <f t="shared" si="22"/>
        <v>0</v>
      </c>
      <c r="I116" s="559">
        <f t="shared" si="22"/>
        <v>28194</v>
      </c>
      <c r="J116" s="559">
        <f t="shared" si="22"/>
        <v>0</v>
      </c>
      <c r="K116" s="559"/>
    </row>
    <row r="117" spans="1:11" ht="16.5" customHeight="1" x14ac:dyDescent="0.25">
      <c r="A117" s="296"/>
      <c r="B117" s="548" t="s">
        <v>6</v>
      </c>
      <c r="C117" s="364"/>
      <c r="D117" s="1622" t="s">
        <v>199</v>
      </c>
      <c r="E117" s="1622"/>
      <c r="F117" s="1622"/>
      <c r="G117" s="1622"/>
      <c r="H117" s="1622"/>
      <c r="I117" s="310"/>
      <c r="J117" s="310"/>
      <c r="K117" s="310"/>
    </row>
    <row r="118" spans="1:11" ht="16.5" x14ac:dyDescent="0.25">
      <c r="A118" s="296"/>
      <c r="B118" s="553"/>
      <c r="C118" s="364" t="s">
        <v>7</v>
      </c>
      <c r="D118" s="309" t="s">
        <v>538</v>
      </c>
      <c r="E118" s="310">
        <v>17861</v>
      </c>
      <c r="F118" s="310">
        <v>18148</v>
      </c>
      <c r="G118" s="310">
        <v>19341</v>
      </c>
      <c r="H118" s="320"/>
      <c r="I118" s="310">
        <v>10917</v>
      </c>
      <c r="J118" s="310"/>
      <c r="K118" s="310"/>
    </row>
    <row r="119" spans="1:11" ht="16.5" x14ac:dyDescent="0.25">
      <c r="A119" s="296"/>
      <c r="B119" s="553"/>
      <c r="C119" s="364" t="s">
        <v>9</v>
      </c>
      <c r="D119" s="309" t="s">
        <v>539</v>
      </c>
      <c r="E119" s="310">
        <v>5645</v>
      </c>
      <c r="F119" s="310">
        <v>5679</v>
      </c>
      <c r="G119" s="310">
        <v>6008</v>
      </c>
      <c r="H119" s="320"/>
      <c r="I119" s="310">
        <v>2981</v>
      </c>
      <c r="J119" s="310"/>
      <c r="K119" s="310"/>
    </row>
    <row r="120" spans="1:11" ht="16.5" x14ac:dyDescent="0.25">
      <c r="A120" s="296"/>
      <c r="B120" s="553"/>
      <c r="C120" s="364" t="s">
        <v>11</v>
      </c>
      <c r="D120" s="309" t="s">
        <v>203</v>
      </c>
      <c r="E120" s="310">
        <v>4421</v>
      </c>
      <c r="F120" s="310">
        <v>6307</v>
      </c>
      <c r="G120" s="310">
        <v>6385</v>
      </c>
      <c r="H120" s="320"/>
      <c r="I120" s="310">
        <v>14296</v>
      </c>
      <c r="J120" s="310"/>
      <c r="K120" s="310"/>
    </row>
    <row r="121" spans="1:11" ht="16.5" x14ac:dyDescent="0.25">
      <c r="A121" s="296"/>
      <c r="B121" s="553"/>
      <c r="C121" s="364" t="s">
        <v>13</v>
      </c>
      <c r="D121" s="309" t="s">
        <v>919</v>
      </c>
      <c r="E121" s="310"/>
      <c r="F121" s="310"/>
      <c r="G121" s="310"/>
      <c r="H121" s="320"/>
      <c r="I121" s="310"/>
      <c r="J121" s="310"/>
      <c r="K121" s="310"/>
    </row>
    <row r="122" spans="1:11" ht="16.5" x14ac:dyDescent="0.25">
      <c r="A122" s="296"/>
      <c r="B122" s="553"/>
      <c r="C122" s="364"/>
      <c r="D122" s="560" t="s">
        <v>921</v>
      </c>
      <c r="E122" s="559">
        <f t="shared" ref="E122:J122" si="23">SUM(E118:E121)</f>
        <v>27927</v>
      </c>
      <c r="F122" s="559">
        <f t="shared" si="23"/>
        <v>30134</v>
      </c>
      <c r="G122" s="559">
        <f t="shared" si="23"/>
        <v>31734</v>
      </c>
      <c r="H122" s="592">
        <f t="shared" si="23"/>
        <v>0</v>
      </c>
      <c r="I122" s="559">
        <f t="shared" si="23"/>
        <v>28194</v>
      </c>
      <c r="J122" s="559">
        <f t="shared" si="23"/>
        <v>0</v>
      </c>
      <c r="K122" s="559"/>
    </row>
    <row r="123" spans="1:11" ht="16.5" x14ac:dyDescent="0.25">
      <c r="A123" s="296"/>
      <c r="B123" s="548" t="s">
        <v>20</v>
      </c>
      <c r="C123" s="292"/>
      <c r="D123" s="561" t="s">
        <v>922</v>
      </c>
      <c r="E123" s="423">
        <v>7.5</v>
      </c>
      <c r="F123" s="423">
        <v>7.5</v>
      </c>
      <c r="G123" s="423">
        <v>7.5</v>
      </c>
      <c r="H123" s="320"/>
      <c r="I123" s="423">
        <v>0</v>
      </c>
      <c r="J123" s="423">
        <v>0</v>
      </c>
      <c r="K123" s="423"/>
    </row>
    <row r="124" spans="1:11" ht="17.25" x14ac:dyDescent="0.3">
      <c r="A124" s="547"/>
      <c r="B124" s="548"/>
      <c r="C124" s="291"/>
      <c r="D124" s="588" t="s">
        <v>996</v>
      </c>
      <c r="E124" s="589"/>
      <c r="F124" s="589"/>
      <c r="G124" s="589"/>
      <c r="H124" s="589"/>
      <c r="I124" s="590"/>
      <c r="J124" s="590"/>
      <c r="K124" s="590"/>
    </row>
    <row r="125" spans="1:11" ht="16.5" customHeight="1" x14ac:dyDescent="0.25">
      <c r="A125" s="296"/>
      <c r="B125" s="548" t="s">
        <v>5</v>
      </c>
      <c r="C125" s="363"/>
      <c r="D125" s="1622" t="s">
        <v>198</v>
      </c>
      <c r="E125" s="1622"/>
      <c r="F125" s="1622"/>
      <c r="G125" s="1622"/>
      <c r="H125" s="1622"/>
      <c r="I125" s="310"/>
      <c r="J125" s="310"/>
      <c r="K125" s="310"/>
    </row>
    <row r="126" spans="1:11" ht="16.5" x14ac:dyDescent="0.25">
      <c r="A126" s="296"/>
      <c r="B126" s="553"/>
      <c r="C126" s="291" t="s">
        <v>103</v>
      </c>
      <c r="D126" s="309" t="s">
        <v>887</v>
      </c>
      <c r="E126" s="310">
        <f t="shared" ref="E126:J126" si="24">SUM(E127:E128)</f>
        <v>2585</v>
      </c>
      <c r="F126" s="310">
        <f t="shared" si="24"/>
        <v>3074</v>
      </c>
      <c r="G126" s="310">
        <f t="shared" si="24"/>
        <v>3074</v>
      </c>
      <c r="H126" s="310">
        <f t="shared" si="24"/>
        <v>3934</v>
      </c>
      <c r="I126" s="310">
        <f t="shared" si="24"/>
        <v>0</v>
      </c>
      <c r="J126" s="310">
        <f t="shared" si="24"/>
        <v>0</v>
      </c>
      <c r="K126" s="310"/>
    </row>
    <row r="127" spans="1:11" ht="16.5" x14ac:dyDescent="0.25">
      <c r="A127" s="296"/>
      <c r="B127" s="553"/>
      <c r="C127" s="363" t="s">
        <v>977</v>
      </c>
      <c r="D127" s="309" t="s">
        <v>27</v>
      </c>
      <c r="E127" s="310">
        <v>2154</v>
      </c>
      <c r="F127" s="310">
        <v>2647</v>
      </c>
      <c r="G127" s="310">
        <v>2647</v>
      </c>
      <c r="H127" s="310">
        <v>3278</v>
      </c>
      <c r="I127" s="310">
        <v>0</v>
      </c>
      <c r="J127" s="310">
        <v>0</v>
      </c>
      <c r="K127" s="310"/>
    </row>
    <row r="128" spans="1:11" ht="16.5" x14ac:dyDescent="0.25">
      <c r="A128" s="296"/>
      <c r="B128" s="553"/>
      <c r="C128" s="363" t="s">
        <v>188</v>
      </c>
      <c r="D128" s="309" t="s">
        <v>936</v>
      </c>
      <c r="E128" s="310">
        <v>431</v>
      </c>
      <c r="F128" s="310">
        <v>427</v>
      </c>
      <c r="G128" s="310">
        <v>427</v>
      </c>
      <c r="H128" s="310">
        <v>656</v>
      </c>
      <c r="I128" s="310"/>
      <c r="J128" s="310"/>
      <c r="K128" s="310"/>
    </row>
    <row r="129" spans="1:15" ht="16.5" x14ac:dyDescent="0.25">
      <c r="A129" s="296"/>
      <c r="B129" s="553"/>
      <c r="C129" s="291" t="s">
        <v>105</v>
      </c>
      <c r="D129" s="309" t="s">
        <v>888</v>
      </c>
      <c r="E129" s="310">
        <v>0</v>
      </c>
      <c r="F129" s="310">
        <v>0</v>
      </c>
      <c r="G129" s="310">
        <v>0</v>
      </c>
      <c r="H129" s="310"/>
      <c r="I129" s="310"/>
      <c r="J129" s="310"/>
      <c r="K129" s="310"/>
    </row>
    <row r="130" spans="1:15" ht="16.5" x14ac:dyDescent="0.25">
      <c r="A130" s="296"/>
      <c r="B130" s="553"/>
      <c r="C130" s="291" t="s">
        <v>107</v>
      </c>
      <c r="D130" s="309" t="s">
        <v>889</v>
      </c>
      <c r="E130" s="310">
        <f t="shared" ref="E130:J130" si="25">SUM(E131+E134)</f>
        <v>0</v>
      </c>
      <c r="F130" s="310">
        <f t="shared" si="25"/>
        <v>0</v>
      </c>
      <c r="G130" s="310">
        <f t="shared" si="25"/>
        <v>759</v>
      </c>
      <c r="H130" s="310">
        <f t="shared" si="25"/>
        <v>0</v>
      </c>
      <c r="I130" s="310">
        <f t="shared" si="25"/>
        <v>72435</v>
      </c>
      <c r="J130" s="310">
        <f t="shared" si="25"/>
        <v>0</v>
      </c>
      <c r="K130" s="310"/>
    </row>
    <row r="131" spans="1:15" ht="16.5" x14ac:dyDescent="0.25">
      <c r="A131" s="554"/>
      <c r="B131" s="555"/>
      <c r="C131" s="316" t="s">
        <v>397</v>
      </c>
      <c r="D131" s="313" t="s">
        <v>890</v>
      </c>
      <c r="E131" s="314">
        <f>SUM(E132:E133)</f>
        <v>0</v>
      </c>
      <c r="F131" s="314"/>
      <c r="G131" s="314">
        <f>SUM(G132:G133)</f>
        <v>499</v>
      </c>
      <c r="H131" s="314">
        <f>SUM(H132:H133)</f>
        <v>0</v>
      </c>
      <c r="I131" s="314">
        <f>SUM(I132:I133)</f>
        <v>72435</v>
      </c>
      <c r="J131" s="314">
        <f>SUM(J132:J133)</f>
        <v>0</v>
      </c>
      <c r="K131" s="314"/>
    </row>
    <row r="132" spans="1:15" ht="16.5" x14ac:dyDescent="0.25">
      <c r="A132" s="296"/>
      <c r="B132" s="553"/>
      <c r="C132" s="363" t="s">
        <v>891</v>
      </c>
      <c r="D132" s="309" t="s">
        <v>979</v>
      </c>
      <c r="E132" s="310"/>
      <c r="F132" s="310"/>
      <c r="G132" s="310"/>
      <c r="H132" s="310"/>
      <c r="I132" s="310">
        <v>65200</v>
      </c>
      <c r="J132" s="310"/>
      <c r="K132" s="310"/>
    </row>
    <row r="133" spans="1:15" ht="16.5" x14ac:dyDescent="0.25">
      <c r="A133" s="296"/>
      <c r="B133" s="553"/>
      <c r="C133" s="363" t="s">
        <v>901</v>
      </c>
      <c r="D133" s="309" t="s">
        <v>970</v>
      </c>
      <c r="E133" s="310"/>
      <c r="F133" s="310"/>
      <c r="G133" s="310">
        <v>499</v>
      </c>
      <c r="H133" s="310">
        <v>0</v>
      </c>
      <c r="I133" s="310">
        <v>7235</v>
      </c>
      <c r="J133" s="310"/>
      <c r="K133" s="310"/>
    </row>
    <row r="134" spans="1:15" ht="16.5" x14ac:dyDescent="0.25">
      <c r="A134" s="296"/>
      <c r="B134" s="553"/>
      <c r="C134" s="363" t="s">
        <v>398</v>
      </c>
      <c r="D134" s="309" t="s">
        <v>971</v>
      </c>
      <c r="E134" s="310"/>
      <c r="F134" s="310"/>
      <c r="G134" s="310">
        <v>260</v>
      </c>
      <c r="H134" s="310">
        <v>0</v>
      </c>
      <c r="I134" s="310"/>
      <c r="J134" s="310"/>
      <c r="K134" s="310"/>
    </row>
    <row r="135" spans="1:15" ht="16.5" x14ac:dyDescent="0.25">
      <c r="A135" s="296"/>
      <c r="B135" s="553"/>
      <c r="C135" s="363"/>
      <c r="D135" s="558" t="s">
        <v>910</v>
      </c>
      <c r="E135" s="559">
        <f t="shared" ref="E135:J135" si="26">SUM(E126+E130+E129)</f>
        <v>2585</v>
      </c>
      <c r="F135" s="559">
        <f t="shared" si="26"/>
        <v>3074</v>
      </c>
      <c r="G135" s="559">
        <f t="shared" si="26"/>
        <v>3833</v>
      </c>
      <c r="H135" s="559">
        <f t="shared" si="26"/>
        <v>3934</v>
      </c>
      <c r="I135" s="559">
        <f t="shared" si="26"/>
        <v>72435</v>
      </c>
      <c r="J135" s="559">
        <f t="shared" si="26"/>
        <v>0</v>
      </c>
      <c r="K135" s="559"/>
    </row>
    <row r="136" spans="1:15" ht="16.5" customHeight="1" x14ac:dyDescent="0.25">
      <c r="A136" s="296"/>
      <c r="B136" s="548" t="s">
        <v>6</v>
      </c>
      <c r="C136" s="364"/>
      <c r="D136" s="1622" t="s">
        <v>199</v>
      </c>
      <c r="E136" s="1622"/>
      <c r="F136" s="1622"/>
      <c r="G136" s="1622"/>
      <c r="H136" s="1622"/>
      <c r="I136" s="310"/>
      <c r="J136" s="310"/>
      <c r="K136" s="310"/>
    </row>
    <row r="137" spans="1:15" ht="16.5" x14ac:dyDescent="0.25">
      <c r="A137" s="296"/>
      <c r="B137" s="553"/>
      <c r="C137" s="364" t="s">
        <v>7</v>
      </c>
      <c r="D137" s="309" t="s">
        <v>538</v>
      </c>
      <c r="E137" s="310">
        <v>1962</v>
      </c>
      <c r="F137" s="310">
        <v>2295</v>
      </c>
      <c r="G137" s="310">
        <v>2363</v>
      </c>
      <c r="H137" s="310">
        <v>2499</v>
      </c>
      <c r="I137" s="310">
        <v>7669</v>
      </c>
      <c r="J137" s="310"/>
      <c r="K137" s="310"/>
    </row>
    <row r="138" spans="1:15" ht="16.5" x14ac:dyDescent="0.25">
      <c r="A138" s="296"/>
      <c r="B138" s="553"/>
      <c r="C138" s="364" t="s">
        <v>9</v>
      </c>
      <c r="D138" s="309" t="s">
        <v>539</v>
      </c>
      <c r="E138" s="310">
        <v>587</v>
      </c>
      <c r="F138" s="310">
        <v>699</v>
      </c>
      <c r="G138" s="310">
        <v>721</v>
      </c>
      <c r="H138" s="310">
        <v>719</v>
      </c>
      <c r="I138" s="310">
        <v>2094</v>
      </c>
      <c r="J138" s="310"/>
      <c r="K138" s="310"/>
      <c r="O138" s="335" t="e">
        <f>SUM(#REF!-#REF!)</f>
        <v>#REF!</v>
      </c>
    </row>
    <row r="139" spans="1:15" ht="16.5" x14ac:dyDescent="0.25">
      <c r="A139" s="296"/>
      <c r="B139" s="553"/>
      <c r="C139" s="364" t="s">
        <v>11</v>
      </c>
      <c r="D139" s="309" t="s">
        <v>203</v>
      </c>
      <c r="E139" s="310">
        <v>36</v>
      </c>
      <c r="F139" s="310">
        <v>80</v>
      </c>
      <c r="G139" s="310">
        <v>489</v>
      </c>
      <c r="H139" s="310">
        <v>716</v>
      </c>
      <c r="I139" s="310">
        <v>62672</v>
      </c>
      <c r="J139" s="310"/>
      <c r="K139" s="310"/>
    </row>
    <row r="140" spans="1:15" ht="16.5" x14ac:dyDescent="0.25">
      <c r="A140" s="296"/>
      <c r="B140" s="553"/>
      <c r="C140" s="364" t="s">
        <v>13</v>
      </c>
      <c r="D140" s="309" t="s">
        <v>918</v>
      </c>
      <c r="E140" s="310"/>
      <c r="F140" s="310"/>
      <c r="G140" s="310"/>
      <c r="H140" s="310"/>
      <c r="I140" s="310"/>
      <c r="J140" s="310"/>
      <c r="K140" s="310"/>
    </row>
    <row r="141" spans="1:15" ht="16.5" x14ac:dyDescent="0.25">
      <c r="A141" s="296"/>
      <c r="B141" s="553"/>
      <c r="C141" s="364" t="s">
        <v>15</v>
      </c>
      <c r="D141" s="309" t="s">
        <v>919</v>
      </c>
      <c r="E141" s="310"/>
      <c r="F141" s="310"/>
      <c r="G141" s="310">
        <v>260</v>
      </c>
      <c r="H141" s="310">
        <v>0</v>
      </c>
      <c r="I141" s="310"/>
      <c r="J141" s="310"/>
      <c r="K141" s="310"/>
    </row>
    <row r="142" spans="1:15" ht="16.5" x14ac:dyDescent="0.25">
      <c r="A142" s="296"/>
      <c r="B142" s="553"/>
      <c r="C142" s="364" t="s">
        <v>17</v>
      </c>
      <c r="D142" s="309" t="s">
        <v>920</v>
      </c>
      <c r="E142" s="310"/>
      <c r="F142" s="310"/>
      <c r="G142" s="310"/>
      <c r="H142" s="310"/>
      <c r="I142" s="310"/>
      <c r="J142" s="310"/>
      <c r="K142" s="310"/>
    </row>
    <row r="143" spans="1:15" ht="16.5" x14ac:dyDescent="0.25">
      <c r="A143" s="296"/>
      <c r="B143" s="553"/>
      <c r="C143" s="364"/>
      <c r="D143" s="560" t="s">
        <v>921</v>
      </c>
      <c r="E143" s="559">
        <f t="shared" ref="E143:J143" si="27">SUM(E137:E142)</f>
        <v>2585</v>
      </c>
      <c r="F143" s="559">
        <f t="shared" si="27"/>
        <v>3074</v>
      </c>
      <c r="G143" s="559">
        <f t="shared" si="27"/>
        <v>3833</v>
      </c>
      <c r="H143" s="559">
        <f t="shared" si="27"/>
        <v>3934</v>
      </c>
      <c r="I143" s="559">
        <f t="shared" si="27"/>
        <v>72435</v>
      </c>
      <c r="J143" s="559">
        <f t="shared" si="27"/>
        <v>0</v>
      </c>
      <c r="K143" s="559"/>
    </row>
    <row r="144" spans="1:15" ht="16.5" x14ac:dyDescent="0.25">
      <c r="A144" s="296"/>
      <c r="B144" s="548" t="s">
        <v>20</v>
      </c>
      <c r="C144" s="292"/>
      <c r="D144" s="561" t="s">
        <v>922</v>
      </c>
      <c r="E144" s="428">
        <v>1</v>
      </c>
      <c r="F144" s="428">
        <v>1</v>
      </c>
      <c r="G144" s="428">
        <v>1</v>
      </c>
      <c r="H144" s="428">
        <v>1</v>
      </c>
      <c r="I144" s="428"/>
      <c r="J144" s="428"/>
      <c r="K144" s="428"/>
    </row>
    <row r="145" spans="1:11" ht="17.25" x14ac:dyDescent="0.3">
      <c r="A145" s="547"/>
      <c r="B145" s="548"/>
      <c r="C145" s="291"/>
      <c r="D145" s="588" t="s">
        <v>997</v>
      </c>
      <c r="E145" s="589"/>
      <c r="F145" s="589"/>
      <c r="G145" s="589"/>
      <c r="H145" s="589"/>
      <c r="I145" s="590"/>
      <c r="J145" s="590"/>
      <c r="K145" s="590"/>
    </row>
    <row r="146" spans="1:11" ht="16.5" customHeight="1" x14ac:dyDescent="0.25">
      <c r="A146" s="296"/>
      <c r="B146" s="548" t="s">
        <v>5</v>
      </c>
      <c r="C146" s="363"/>
      <c r="D146" s="1622" t="s">
        <v>198</v>
      </c>
      <c r="E146" s="1622"/>
      <c r="F146" s="1622"/>
      <c r="G146" s="1622"/>
      <c r="H146" s="1622"/>
      <c r="I146" s="310"/>
      <c r="J146" s="310"/>
      <c r="K146" s="310"/>
    </row>
    <row r="147" spans="1:11" ht="16.5" x14ac:dyDescent="0.25">
      <c r="A147" s="296"/>
      <c r="B147" s="553"/>
      <c r="C147" s="291" t="s">
        <v>103</v>
      </c>
      <c r="D147" s="309" t="s">
        <v>887</v>
      </c>
      <c r="E147" s="310"/>
      <c r="F147" s="310"/>
      <c r="G147" s="310"/>
      <c r="H147" s="320"/>
      <c r="I147" s="310">
        <v>4700</v>
      </c>
      <c r="J147" s="310"/>
      <c r="K147" s="310"/>
    </row>
    <row r="148" spans="1:11" ht="16.5" x14ac:dyDescent="0.25">
      <c r="A148" s="296"/>
      <c r="B148" s="553"/>
      <c r="C148" s="291" t="s">
        <v>105</v>
      </c>
      <c r="D148" s="309" t="s">
        <v>888</v>
      </c>
      <c r="E148" s="310">
        <v>0</v>
      </c>
      <c r="F148" s="310">
        <v>0</v>
      </c>
      <c r="G148" s="310">
        <v>0</v>
      </c>
      <c r="H148" s="320"/>
      <c r="I148" s="310">
        <v>0</v>
      </c>
      <c r="J148" s="310">
        <v>0</v>
      </c>
      <c r="K148" s="310"/>
    </row>
    <row r="149" spans="1:11" ht="16.5" x14ac:dyDescent="0.25">
      <c r="A149" s="296"/>
      <c r="B149" s="553"/>
      <c r="C149" s="291" t="s">
        <v>107</v>
      </c>
      <c r="D149" s="309" t="s">
        <v>889</v>
      </c>
      <c r="E149" s="310">
        <f t="shared" ref="E149:J149" si="28">SUM(E150+E153)</f>
        <v>11898</v>
      </c>
      <c r="F149" s="310">
        <f t="shared" si="28"/>
        <v>13011</v>
      </c>
      <c r="G149" s="310">
        <f t="shared" si="28"/>
        <v>13387</v>
      </c>
      <c r="H149" s="320">
        <f t="shared" si="28"/>
        <v>0</v>
      </c>
      <c r="I149" s="310">
        <f t="shared" si="28"/>
        <v>0</v>
      </c>
      <c r="J149" s="310">
        <f t="shared" si="28"/>
        <v>0</v>
      </c>
      <c r="K149" s="310"/>
    </row>
    <row r="150" spans="1:11" ht="16.5" x14ac:dyDescent="0.25">
      <c r="A150" s="554"/>
      <c r="B150" s="555"/>
      <c r="C150" s="316" t="s">
        <v>397</v>
      </c>
      <c r="D150" s="313" t="s">
        <v>890</v>
      </c>
      <c r="E150" s="314">
        <f t="shared" ref="E150:J150" si="29">SUM(E151:E152)</f>
        <v>11898</v>
      </c>
      <c r="F150" s="314">
        <f t="shared" si="29"/>
        <v>13011</v>
      </c>
      <c r="G150" s="314">
        <f t="shared" si="29"/>
        <v>13387</v>
      </c>
      <c r="H150" s="591">
        <f t="shared" si="29"/>
        <v>0</v>
      </c>
      <c r="I150" s="314">
        <f t="shared" si="29"/>
        <v>0</v>
      </c>
      <c r="J150" s="314">
        <f t="shared" si="29"/>
        <v>0</v>
      </c>
      <c r="K150" s="314"/>
    </row>
    <row r="151" spans="1:11" ht="16.5" x14ac:dyDescent="0.25">
      <c r="A151" s="296"/>
      <c r="B151" s="553"/>
      <c r="C151" s="363" t="s">
        <v>891</v>
      </c>
      <c r="D151" s="309" t="s">
        <v>975</v>
      </c>
      <c r="E151" s="310">
        <v>10776</v>
      </c>
      <c r="F151" s="310">
        <v>10236</v>
      </c>
      <c r="G151" s="310">
        <v>10236</v>
      </c>
      <c r="H151" s="320">
        <v>0</v>
      </c>
      <c r="I151" s="310"/>
      <c r="J151" s="310"/>
      <c r="K151" s="310"/>
    </row>
    <row r="152" spans="1:11" ht="16.5" x14ac:dyDescent="0.25">
      <c r="A152" s="296"/>
      <c r="B152" s="553"/>
      <c r="C152" s="363" t="s">
        <v>901</v>
      </c>
      <c r="D152" s="309" t="s">
        <v>970</v>
      </c>
      <c r="E152" s="310">
        <v>1122</v>
      </c>
      <c r="F152" s="310">
        <v>2775</v>
      </c>
      <c r="G152" s="310">
        <v>3151</v>
      </c>
      <c r="H152" s="320">
        <v>0</v>
      </c>
      <c r="I152" s="310"/>
      <c r="J152" s="310"/>
      <c r="K152" s="310"/>
    </row>
    <row r="153" spans="1:11" ht="16.5" x14ac:dyDescent="0.25">
      <c r="A153" s="296"/>
      <c r="B153" s="553"/>
      <c r="C153" s="363" t="s">
        <v>398</v>
      </c>
      <c r="D153" s="309" t="s">
        <v>971</v>
      </c>
      <c r="E153" s="310"/>
      <c r="F153" s="310"/>
      <c r="G153" s="310"/>
      <c r="H153" s="320"/>
      <c r="I153" s="310"/>
      <c r="J153" s="310"/>
      <c r="K153" s="310"/>
    </row>
    <row r="154" spans="1:11" ht="16.5" x14ac:dyDescent="0.25">
      <c r="A154" s="296"/>
      <c r="B154" s="553"/>
      <c r="C154" s="363"/>
      <c r="D154" s="558" t="s">
        <v>910</v>
      </c>
      <c r="E154" s="559">
        <f t="shared" ref="E154:J154" si="30">SUM(E147+E149+E148)</f>
        <v>11898</v>
      </c>
      <c r="F154" s="559">
        <f t="shared" si="30"/>
        <v>13011</v>
      </c>
      <c r="G154" s="559">
        <f t="shared" si="30"/>
        <v>13387</v>
      </c>
      <c r="H154" s="592">
        <f t="shared" si="30"/>
        <v>0</v>
      </c>
      <c r="I154" s="559">
        <f t="shared" si="30"/>
        <v>4700</v>
      </c>
      <c r="J154" s="559">
        <f t="shared" si="30"/>
        <v>0</v>
      </c>
      <c r="K154" s="559"/>
    </row>
    <row r="155" spans="1:11" ht="16.5" x14ac:dyDescent="0.25">
      <c r="A155" s="296"/>
      <c r="B155" s="548" t="s">
        <v>6</v>
      </c>
      <c r="C155" s="364"/>
      <c r="D155" s="1622" t="s">
        <v>199</v>
      </c>
      <c r="E155" s="1622"/>
      <c r="F155" s="1622"/>
      <c r="G155" s="1622"/>
      <c r="H155" s="1622"/>
      <c r="I155" s="310"/>
      <c r="J155" s="310"/>
      <c r="K155" s="310"/>
    </row>
    <row r="156" spans="1:11" ht="16.5" x14ac:dyDescent="0.25">
      <c r="A156" s="296"/>
      <c r="B156" s="553"/>
      <c r="C156" s="364" t="s">
        <v>7</v>
      </c>
      <c r="D156" s="309" t="s">
        <v>538</v>
      </c>
      <c r="E156" s="310">
        <v>7165</v>
      </c>
      <c r="F156" s="310">
        <v>8560</v>
      </c>
      <c r="G156" s="310">
        <v>8845</v>
      </c>
      <c r="H156" s="320">
        <v>0</v>
      </c>
      <c r="I156" s="310">
        <v>134</v>
      </c>
      <c r="J156" s="310"/>
      <c r="K156" s="310"/>
    </row>
    <row r="157" spans="1:11" ht="16.5" x14ac:dyDescent="0.25">
      <c r="A157" s="296"/>
      <c r="B157" s="553"/>
      <c r="C157" s="364" t="s">
        <v>9</v>
      </c>
      <c r="D157" s="309" t="s">
        <v>539</v>
      </c>
      <c r="E157" s="310">
        <v>2274</v>
      </c>
      <c r="F157" s="310">
        <v>2699</v>
      </c>
      <c r="G157" s="310">
        <v>2790</v>
      </c>
      <c r="H157" s="320">
        <v>0</v>
      </c>
      <c r="I157" s="310">
        <v>36</v>
      </c>
      <c r="J157" s="310"/>
      <c r="K157" s="310"/>
    </row>
    <row r="158" spans="1:11" ht="16.5" x14ac:dyDescent="0.25">
      <c r="A158" s="296"/>
      <c r="B158" s="553"/>
      <c r="C158" s="364" t="s">
        <v>11</v>
      </c>
      <c r="D158" s="309" t="s">
        <v>203</v>
      </c>
      <c r="E158" s="310">
        <v>2459</v>
      </c>
      <c r="F158" s="310">
        <v>1752</v>
      </c>
      <c r="G158" s="310">
        <v>1752</v>
      </c>
      <c r="H158" s="320">
        <v>0</v>
      </c>
      <c r="I158" s="310">
        <v>4530</v>
      </c>
      <c r="J158" s="310"/>
      <c r="K158" s="310"/>
    </row>
    <row r="159" spans="1:11" ht="16.5" x14ac:dyDescent="0.25">
      <c r="A159" s="296"/>
      <c r="B159" s="553"/>
      <c r="C159" s="364" t="s">
        <v>13</v>
      </c>
      <c r="D159" s="309" t="s">
        <v>918</v>
      </c>
      <c r="E159" s="310"/>
      <c r="F159" s="310"/>
      <c r="G159" s="310"/>
      <c r="H159" s="320"/>
      <c r="I159" s="310"/>
      <c r="J159" s="310"/>
      <c r="K159" s="310"/>
    </row>
    <row r="160" spans="1:11" ht="16.5" x14ac:dyDescent="0.25">
      <c r="A160" s="296"/>
      <c r="B160" s="553"/>
      <c r="C160" s="364" t="s">
        <v>15</v>
      </c>
      <c r="D160" s="309" t="s">
        <v>919</v>
      </c>
      <c r="E160" s="310"/>
      <c r="F160" s="310"/>
      <c r="G160" s="310"/>
      <c r="H160" s="320"/>
      <c r="I160" s="310"/>
      <c r="J160" s="310"/>
      <c r="K160" s="310"/>
    </row>
    <row r="161" spans="1:11" ht="16.5" x14ac:dyDescent="0.25">
      <c r="A161" s="296"/>
      <c r="B161" s="553"/>
      <c r="C161" s="364" t="s">
        <v>17</v>
      </c>
      <c r="D161" s="309" t="s">
        <v>920</v>
      </c>
      <c r="E161" s="310"/>
      <c r="F161" s="310"/>
      <c r="G161" s="310"/>
      <c r="H161" s="320"/>
      <c r="I161" s="310"/>
      <c r="J161" s="310"/>
      <c r="K161" s="310"/>
    </row>
    <row r="162" spans="1:11" ht="16.5" x14ac:dyDescent="0.25">
      <c r="A162" s="296"/>
      <c r="B162" s="553"/>
      <c r="C162" s="364"/>
      <c r="D162" s="560" t="s">
        <v>921</v>
      </c>
      <c r="E162" s="559">
        <f t="shared" ref="E162:J162" si="31">SUM(E156:E161)</f>
        <v>11898</v>
      </c>
      <c r="F162" s="559">
        <f t="shared" si="31"/>
        <v>13011</v>
      </c>
      <c r="G162" s="559">
        <f t="shared" si="31"/>
        <v>13387</v>
      </c>
      <c r="H162" s="592">
        <f t="shared" si="31"/>
        <v>0</v>
      </c>
      <c r="I162" s="559">
        <f t="shared" si="31"/>
        <v>4700</v>
      </c>
      <c r="J162" s="559">
        <f t="shared" si="31"/>
        <v>0</v>
      </c>
      <c r="K162" s="559"/>
    </row>
    <row r="163" spans="1:11" ht="16.5" x14ac:dyDescent="0.25">
      <c r="A163" s="296"/>
      <c r="B163" s="548" t="s">
        <v>20</v>
      </c>
      <c r="C163" s="292"/>
      <c r="D163" s="561" t="s">
        <v>922</v>
      </c>
      <c r="E163" s="428">
        <v>3</v>
      </c>
      <c r="F163" s="428">
        <v>3</v>
      </c>
      <c r="G163" s="428">
        <v>3</v>
      </c>
      <c r="H163" s="428">
        <v>0</v>
      </c>
      <c r="I163" s="428"/>
      <c r="J163" s="428"/>
      <c r="K163" s="428"/>
    </row>
    <row r="164" spans="1:11" ht="29.25" x14ac:dyDescent="0.25">
      <c r="A164" s="603"/>
      <c r="B164" s="604"/>
      <c r="C164" s="605"/>
      <c r="D164" s="606" t="s">
        <v>998</v>
      </c>
      <c r="E164" s="607">
        <f>SUM(E79+E59+E38+E19)</f>
        <v>365650</v>
      </c>
      <c r="F164" s="607">
        <f>SUM(F79+F59+F38+F19)</f>
        <v>291953</v>
      </c>
      <c r="G164" s="607">
        <f>SUM(G79+G59+G38+G19)</f>
        <v>384593</v>
      </c>
      <c r="H164" s="607">
        <f>SUM(H79+H59+H38+H19+H98)</f>
        <v>337564</v>
      </c>
      <c r="I164" s="607">
        <f>SUM(I79+I59+I38+I19+I98+I116+I135+I154)</f>
        <v>543455</v>
      </c>
      <c r="J164" s="607">
        <f>SUM(J79+J59+J38+J19+J98+J116+J135+J154)</f>
        <v>0</v>
      </c>
      <c r="K164" s="607"/>
    </row>
    <row r="165" spans="1:11" ht="29.25" x14ac:dyDescent="0.25">
      <c r="A165" s="603"/>
      <c r="B165" s="604"/>
      <c r="C165" s="605"/>
      <c r="D165" s="606" t="s">
        <v>999</v>
      </c>
      <c r="E165" s="607">
        <f>SUM(E87+E67+E46+E27)</f>
        <v>365650</v>
      </c>
      <c r="F165" s="607">
        <f>SUM(F87+F67+F46+F27)</f>
        <v>291953</v>
      </c>
      <c r="G165" s="607">
        <f>SUM(G87+G67+G46+G27)</f>
        <v>384593</v>
      </c>
      <c r="H165" s="607">
        <f>SUM(H87+H67+H46+H27+H105)</f>
        <v>337564</v>
      </c>
      <c r="I165" s="607">
        <f>SUM(I87+I67+I46+I27+I105+I122+I143+I162)</f>
        <v>543455</v>
      </c>
      <c r="J165" s="607">
        <f>SUM(J87+J67+J46+J27+J105+J122+J143+J162)</f>
        <v>0</v>
      </c>
      <c r="K165" s="607"/>
    </row>
    <row r="166" spans="1:11" ht="16.5" x14ac:dyDescent="0.25">
      <c r="A166" s="603"/>
      <c r="B166" s="604"/>
      <c r="C166" s="605"/>
      <c r="D166" s="608" t="s">
        <v>1000</v>
      </c>
      <c r="E166" s="609">
        <f>SUM(E88,E68,E47,E28)</f>
        <v>58.5</v>
      </c>
      <c r="F166" s="609">
        <f>SUM(F88,F68,F47,F28)</f>
        <v>62</v>
      </c>
      <c r="G166" s="609">
        <f>SUM(G88,G68,G47,G28)</f>
        <v>62</v>
      </c>
      <c r="H166" s="609">
        <f>SUM(H88,H68,H47,H28,H106)</f>
        <v>69</v>
      </c>
      <c r="I166" s="609">
        <f>SUM(I163+I144+I123+I106+I88+I68+I47+I28)</f>
        <v>73</v>
      </c>
      <c r="J166" s="609">
        <v>73</v>
      </c>
      <c r="K166" s="609"/>
    </row>
    <row r="167" spans="1:11" ht="16.5" x14ac:dyDescent="0.25">
      <c r="A167" s="610"/>
      <c r="B167" s="573"/>
      <c r="C167" s="574"/>
      <c r="D167" s="611"/>
      <c r="E167" s="612"/>
      <c r="F167" s="612"/>
      <c r="G167" s="612"/>
      <c r="H167" s="612"/>
      <c r="I167" s="612"/>
      <c r="J167" s="612"/>
      <c r="K167" s="612"/>
    </row>
    <row r="168" spans="1:11" ht="16.5" x14ac:dyDescent="0.25">
      <c r="A168" s="610"/>
      <c r="B168" s="573"/>
      <c r="C168" s="574"/>
      <c r="D168" s="611"/>
      <c r="E168" s="612"/>
      <c r="F168" s="612"/>
      <c r="G168" s="612"/>
      <c r="H168" s="612"/>
      <c r="I168" s="612"/>
      <c r="J168" s="612"/>
      <c r="K168" s="612"/>
    </row>
    <row r="169" spans="1:11" ht="16.5" x14ac:dyDescent="0.25">
      <c r="A169" s="610"/>
      <c r="B169" s="573"/>
      <c r="C169" s="574"/>
      <c r="D169" s="611"/>
      <c r="E169" s="612"/>
      <c r="F169" s="612"/>
      <c r="G169" s="612"/>
      <c r="H169" s="612"/>
      <c r="I169" s="612"/>
      <c r="J169" s="612"/>
      <c r="K169" s="612"/>
    </row>
    <row r="170" spans="1:11" ht="16.5" x14ac:dyDescent="0.25">
      <c r="A170" s="610"/>
      <c r="B170" s="573"/>
      <c r="C170" s="574"/>
      <c r="D170" s="611"/>
      <c r="E170" s="612"/>
      <c r="F170" s="612"/>
      <c r="G170" s="612"/>
      <c r="H170" s="612"/>
      <c r="I170" s="612"/>
      <c r="J170" s="612"/>
      <c r="K170" s="612"/>
    </row>
    <row r="171" spans="1:11" ht="16.5" x14ac:dyDescent="0.25">
      <c r="A171" s="610"/>
      <c r="B171" s="573"/>
      <c r="C171" s="574"/>
      <c r="D171" s="611"/>
      <c r="E171" s="612"/>
      <c r="F171" s="612"/>
      <c r="G171" s="612"/>
      <c r="H171" s="612"/>
      <c r="I171" s="612"/>
      <c r="J171" s="612"/>
      <c r="K171" s="612"/>
    </row>
    <row r="172" spans="1:11" ht="16.5" x14ac:dyDescent="0.25">
      <c r="A172" s="610"/>
      <c r="B172" s="573"/>
      <c r="C172" s="574"/>
      <c r="D172" s="611"/>
      <c r="E172" s="612"/>
      <c r="F172" s="612"/>
      <c r="G172" s="612"/>
      <c r="H172" s="612"/>
      <c r="I172" s="612"/>
      <c r="J172" s="612"/>
      <c r="K172" s="612"/>
    </row>
    <row r="173" spans="1:11" ht="16.5" x14ac:dyDescent="0.25">
      <c r="A173" s="610"/>
      <c r="B173" s="573"/>
      <c r="C173" s="574"/>
      <c r="D173" s="611"/>
      <c r="E173" s="612"/>
      <c r="F173" s="612"/>
      <c r="G173" s="612"/>
      <c r="H173" s="612"/>
      <c r="I173" s="612"/>
      <c r="J173" s="612"/>
      <c r="K173" s="612"/>
    </row>
    <row r="174" spans="1:11" ht="16.5" x14ac:dyDescent="0.25">
      <c r="A174" s="610"/>
      <c r="B174" s="573"/>
      <c r="C174" s="574"/>
      <c r="D174" s="611"/>
      <c r="E174" s="612"/>
      <c r="F174" s="612"/>
      <c r="G174" s="612"/>
      <c r="H174" s="612"/>
      <c r="I174" s="612"/>
      <c r="J174" s="612"/>
      <c r="K174" s="612"/>
    </row>
    <row r="175" spans="1:11" ht="17.25" x14ac:dyDescent="0.3">
      <c r="A175" s="610"/>
      <c r="B175" s="573"/>
      <c r="C175" s="574"/>
      <c r="D175" s="613"/>
      <c r="E175" s="612"/>
      <c r="F175" s="612"/>
      <c r="G175" s="612"/>
      <c r="H175" s="612"/>
      <c r="I175" s="612"/>
      <c r="J175" s="612"/>
      <c r="K175" s="612"/>
    </row>
    <row r="179" spans="5:24" x14ac:dyDescent="0.2">
      <c r="X179" s="286"/>
    </row>
    <row r="180" spans="5:24" x14ac:dyDescent="0.2">
      <c r="X180" s="286"/>
    </row>
    <row r="181" spans="5:24" x14ac:dyDescent="0.2">
      <c r="X181" s="286"/>
    </row>
    <row r="182" spans="5:24" x14ac:dyDescent="0.2">
      <c r="X182" s="286"/>
    </row>
    <row r="183" spans="5:24" x14ac:dyDescent="0.2">
      <c r="X183" s="286"/>
    </row>
    <row r="184" spans="5:24" x14ac:dyDescent="0.2">
      <c r="E184" s="335" t="e">
        <f>SUM(#REF!-#REF!)</f>
        <v>#REF!</v>
      </c>
      <c r="F184" s="335" t="e">
        <f>SUM(#REF!-#REF!)</f>
        <v>#REF!</v>
      </c>
      <c r="X184" s="286"/>
    </row>
    <row r="185" spans="5:24" x14ac:dyDescent="0.2">
      <c r="X185" s="286"/>
    </row>
    <row r="186" spans="5:24" x14ac:dyDescent="0.2">
      <c r="X186" s="286"/>
    </row>
    <row r="187" spans="5:24" x14ac:dyDescent="0.2">
      <c r="X187" s="286"/>
    </row>
    <row r="188" spans="5:24" x14ac:dyDescent="0.2">
      <c r="X188" s="286"/>
    </row>
    <row r="189" spans="5:24" x14ac:dyDescent="0.2">
      <c r="X189" s="286"/>
    </row>
    <row r="190" spans="5:24" x14ac:dyDescent="0.2">
      <c r="X190" s="286"/>
    </row>
    <row r="191" spans="5:24" x14ac:dyDescent="0.2">
      <c r="X191" s="286"/>
    </row>
    <row r="192" spans="5:24" x14ac:dyDescent="0.2">
      <c r="X192" s="286"/>
    </row>
    <row r="193" spans="24:24" x14ac:dyDescent="0.2">
      <c r="X193" s="286"/>
    </row>
    <row r="194" spans="24:24" x14ac:dyDescent="0.2">
      <c r="X194" s="286"/>
    </row>
    <row r="195" spans="24:24" x14ac:dyDescent="0.2">
      <c r="X195" s="286"/>
    </row>
    <row r="196" spans="24:24" x14ac:dyDescent="0.2">
      <c r="X196" s="286"/>
    </row>
    <row r="197" spans="24:24" x14ac:dyDescent="0.2">
      <c r="X197" s="286"/>
    </row>
    <row r="198" spans="24:24" x14ac:dyDescent="0.2">
      <c r="X198" s="286"/>
    </row>
    <row r="199" spans="24:24" x14ac:dyDescent="0.2">
      <c r="X199" s="286"/>
    </row>
    <row r="200" spans="24:24" x14ac:dyDescent="0.2">
      <c r="X200" s="286"/>
    </row>
    <row r="201" spans="24:24" x14ac:dyDescent="0.2">
      <c r="X201" s="286"/>
    </row>
    <row r="202" spans="24:24" x14ac:dyDescent="0.2">
      <c r="X202" s="286"/>
    </row>
  </sheetData>
  <sheetProtection selectLockedCells="1" selectUnlockedCells="1"/>
  <mergeCells count="18">
    <mergeCell ref="D136:H136"/>
    <mergeCell ref="D146:H146"/>
    <mergeCell ref="D155:H155"/>
    <mergeCell ref="D90:H90"/>
    <mergeCell ref="D99:H99"/>
    <mergeCell ref="D108:H108"/>
    <mergeCell ref="D117:H117"/>
    <mergeCell ref="D125:H125"/>
    <mergeCell ref="D39:H39"/>
    <mergeCell ref="D49:H49"/>
    <mergeCell ref="D60:H60"/>
    <mergeCell ref="D70:H70"/>
    <mergeCell ref="D80:H80"/>
    <mergeCell ref="A1:C1"/>
    <mergeCell ref="D2:H2"/>
    <mergeCell ref="D4:H4"/>
    <mergeCell ref="D20:H20"/>
    <mergeCell ref="D30:H30"/>
  </mergeCells>
  <printOptions horizontalCentered="1"/>
  <pageMargins left="0" right="0" top="0.74803149606299213" bottom="0.19685039370078741" header="0.27559055118110237" footer="0.11811023622047245"/>
  <pageSetup paperSize="9" scale="94" firstPageNumber="89" orientation="portrait" useFirstPageNumber="1" horizontalDpi="300" verticalDpi="300" r:id="rId1"/>
  <headerFooter alignWithMargins="0">
    <oddHeader>&amp;C&amp;"Times New Roman,Félkövér"&amp;14Önállóan működő és gazdálkodó intézmény 
2013. évi bevételei és kiadásai&amp;R&amp;"Times New Roman,Normál"&amp;12 5.11.1.  sz. melléklet
Ezer Ft</oddHeader>
    <oddFooter>&amp;C- &amp;P -</oddFooter>
  </headerFooter>
  <rowBreaks count="3" manualBreakCount="3">
    <brk id="47" max="16383" man="1"/>
    <brk id="88" max="16383" man="1"/>
    <brk id="123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Normal="110" zoomScaleSheetLayoutView="100" workbookViewId="0">
      <selection activeCell="M25" sqref="M25"/>
    </sheetView>
  </sheetViews>
  <sheetFormatPr defaultRowHeight="12.75" x14ac:dyDescent="0.2"/>
  <cols>
    <col min="1" max="1" width="3.83203125" style="87" customWidth="1"/>
    <col min="2" max="2" width="5" style="87" customWidth="1"/>
    <col min="3" max="3" width="3" style="87" customWidth="1"/>
    <col min="4" max="4" width="41.6640625" style="88" customWidth="1"/>
    <col min="5" max="5" width="15.6640625" style="87" customWidth="1"/>
    <col min="6" max="6" width="14.1640625" style="87" customWidth="1"/>
    <col min="7" max="7" width="18" style="87" customWidth="1"/>
    <col min="8" max="8" width="16.6640625" style="87" customWidth="1"/>
    <col min="9" max="9" width="18.83203125" style="614" customWidth="1"/>
    <col min="10" max="11" width="16.6640625" style="87" hidden="1" customWidth="1"/>
    <col min="12" max="12" width="10.5" style="87" customWidth="1"/>
    <col min="13" max="14" width="12.83203125" style="87" customWidth="1"/>
    <col min="15" max="15" width="13.83203125" style="87" customWidth="1"/>
    <col min="16" max="16384" width="9.33203125" style="87"/>
  </cols>
  <sheetData>
    <row r="1" spans="1:12" ht="14.25" thickBot="1" x14ac:dyDescent="0.3">
      <c r="D1" s="615"/>
      <c r="E1" s="614"/>
      <c r="F1" s="614"/>
      <c r="G1" s="614"/>
      <c r="H1" s="614"/>
      <c r="I1" s="616"/>
      <c r="J1" s="614"/>
      <c r="K1" s="614"/>
      <c r="L1" s="614"/>
    </row>
    <row r="2" spans="1:12" s="93" customFormat="1" ht="61.5" customHeight="1" x14ac:dyDescent="0.2">
      <c r="A2" s="1623" t="s">
        <v>0</v>
      </c>
      <c r="B2" s="1623"/>
      <c r="C2" s="1623"/>
      <c r="D2" s="617" t="s">
        <v>1001</v>
      </c>
      <c r="E2" s="617" t="s">
        <v>1002</v>
      </c>
      <c r="F2" s="617" t="s">
        <v>1003</v>
      </c>
      <c r="G2" s="617" t="s">
        <v>1573</v>
      </c>
      <c r="H2" s="617" t="s">
        <v>1489</v>
      </c>
      <c r="I2" s="1066" t="s">
        <v>1574</v>
      </c>
      <c r="J2" s="617" t="s">
        <v>1432</v>
      </c>
      <c r="K2" s="617" t="s">
        <v>1433</v>
      </c>
      <c r="L2" s="617" t="s">
        <v>3</v>
      </c>
    </row>
    <row r="3" spans="1:12" s="614" customFormat="1" ht="12" customHeight="1" x14ac:dyDescent="0.2">
      <c r="A3" s="618"/>
      <c r="B3" s="619"/>
      <c r="C3" s="619"/>
      <c r="D3" s="620">
        <v>1</v>
      </c>
      <c r="E3" s="620">
        <v>2</v>
      </c>
      <c r="F3" s="620">
        <v>3</v>
      </c>
      <c r="G3" s="620">
        <v>4</v>
      </c>
      <c r="H3" s="620">
        <v>5</v>
      </c>
      <c r="I3" s="621" t="s">
        <v>1004</v>
      </c>
      <c r="J3" s="620">
        <v>7</v>
      </c>
      <c r="K3" s="620">
        <v>8</v>
      </c>
      <c r="L3" s="620">
        <v>9</v>
      </c>
    </row>
    <row r="4" spans="1:12" s="614" customFormat="1" ht="19.5" customHeight="1" x14ac:dyDescent="0.2">
      <c r="A4" s="622" t="s">
        <v>5</v>
      </c>
      <c r="B4" s="623"/>
      <c r="C4" s="623"/>
      <c r="D4" s="1067" t="s">
        <v>1005</v>
      </c>
      <c r="E4" s="1099">
        <f>SUM(E5:E16)</f>
        <v>25000</v>
      </c>
      <c r="F4" s="1099"/>
      <c r="G4" s="1099">
        <f>SUM(G5:G16)</f>
        <v>0</v>
      </c>
      <c r="H4" s="1099">
        <f>SUM(H5:H16)</f>
        <v>25000</v>
      </c>
      <c r="I4" s="625"/>
      <c r="J4" s="626">
        <f>SUM(J5:J19)</f>
        <v>0</v>
      </c>
      <c r="K4" s="626">
        <f>SUM(K5:K22)</f>
        <v>0</v>
      </c>
      <c r="L4" s="1014"/>
    </row>
    <row r="5" spans="1:12" ht="15.95" customHeight="1" x14ac:dyDescent="0.25">
      <c r="A5" s="628"/>
      <c r="B5" s="629" t="s">
        <v>1006</v>
      </c>
      <c r="C5" s="1068"/>
      <c r="D5" s="1069" t="s">
        <v>1575</v>
      </c>
      <c r="E5" s="1070">
        <v>25000</v>
      </c>
      <c r="F5" s="1100">
        <v>2013</v>
      </c>
      <c r="G5" s="627"/>
      <c r="H5" s="1070">
        <v>25000</v>
      </c>
      <c r="I5" s="1000">
        <f t="shared" ref="I5:I23" si="0">E5-G5-H5</f>
        <v>0</v>
      </c>
      <c r="J5" s="627"/>
      <c r="K5" s="627"/>
      <c r="L5" s="1015"/>
    </row>
    <row r="6" spans="1:12" ht="15.95" customHeight="1" x14ac:dyDescent="0.25">
      <c r="A6" s="628"/>
      <c r="B6" s="629" t="s">
        <v>1008</v>
      </c>
      <c r="C6" s="1068"/>
      <c r="D6" s="1069" t="s">
        <v>1007</v>
      </c>
      <c r="E6" s="1070">
        <v>0</v>
      </c>
      <c r="F6" s="1071"/>
      <c r="G6" s="627"/>
      <c r="H6" s="627"/>
      <c r="I6" s="1000">
        <f t="shared" si="0"/>
        <v>0</v>
      </c>
      <c r="J6" s="627"/>
      <c r="K6" s="627"/>
      <c r="L6" s="1015"/>
    </row>
    <row r="7" spans="1:12" ht="31.5" x14ac:dyDescent="0.25">
      <c r="A7" s="628"/>
      <c r="B7" s="629" t="s">
        <v>1010</v>
      </c>
      <c r="C7" s="1068"/>
      <c r="D7" s="1069" t="s">
        <v>1009</v>
      </c>
      <c r="E7" s="1070">
        <v>0</v>
      </c>
      <c r="F7" s="1071"/>
      <c r="G7" s="627"/>
      <c r="H7" s="627"/>
      <c r="I7" s="1000">
        <f t="shared" si="0"/>
        <v>0</v>
      </c>
      <c r="J7" s="627"/>
      <c r="K7" s="627"/>
      <c r="L7" s="1015"/>
    </row>
    <row r="8" spans="1:12" ht="15.95" customHeight="1" x14ac:dyDescent="0.25">
      <c r="A8" s="628"/>
      <c r="B8" s="629" t="s">
        <v>939</v>
      </c>
      <c r="C8" s="1068"/>
      <c r="D8" s="1069" t="s">
        <v>1011</v>
      </c>
      <c r="E8" s="1070">
        <v>0</v>
      </c>
      <c r="F8" s="1071"/>
      <c r="G8" s="627"/>
      <c r="H8" s="627"/>
      <c r="I8" s="1000">
        <f t="shared" si="0"/>
        <v>0</v>
      </c>
      <c r="J8" s="627"/>
      <c r="K8" s="627"/>
      <c r="L8" s="1015"/>
    </row>
    <row r="9" spans="1:12" ht="15.95" customHeight="1" x14ac:dyDescent="0.25">
      <c r="A9" s="628"/>
      <c r="B9" s="629" t="s">
        <v>111</v>
      </c>
      <c r="C9" s="1068"/>
      <c r="D9" s="1069" t="s">
        <v>1012</v>
      </c>
      <c r="E9" s="1070">
        <v>0</v>
      </c>
      <c r="F9" s="1071"/>
      <c r="G9" s="627"/>
      <c r="H9" s="627"/>
      <c r="I9" s="1000">
        <f t="shared" si="0"/>
        <v>0</v>
      </c>
      <c r="J9" s="627"/>
      <c r="K9" s="627"/>
      <c r="L9" s="1015"/>
    </row>
    <row r="10" spans="1:12" ht="15.95" customHeight="1" x14ac:dyDescent="0.25">
      <c r="A10" s="628"/>
      <c r="B10" s="629" t="s">
        <v>284</v>
      </c>
      <c r="C10" s="1068"/>
      <c r="D10" s="1069" t="s">
        <v>1013</v>
      </c>
      <c r="E10" s="1070">
        <v>0</v>
      </c>
      <c r="F10" s="1071"/>
      <c r="G10" s="627"/>
      <c r="H10" s="627"/>
      <c r="I10" s="1000">
        <f t="shared" si="0"/>
        <v>0</v>
      </c>
      <c r="J10" s="627"/>
      <c r="K10" s="627"/>
      <c r="L10" s="1015"/>
    </row>
    <row r="11" spans="1:12" ht="15.95" customHeight="1" x14ac:dyDescent="0.25">
      <c r="A11" s="628"/>
      <c r="B11" s="629" t="s">
        <v>1015</v>
      </c>
      <c r="C11" s="1068"/>
      <c r="D11" s="1069" t="s">
        <v>1014</v>
      </c>
      <c r="E11" s="1070">
        <v>0</v>
      </c>
      <c r="F11" s="1071"/>
      <c r="G11" s="627"/>
      <c r="H11" s="627"/>
      <c r="I11" s="1000">
        <f t="shared" si="0"/>
        <v>0</v>
      </c>
      <c r="J11" s="627"/>
      <c r="K11" s="627"/>
      <c r="L11" s="1015"/>
    </row>
    <row r="12" spans="1:12" ht="15.95" customHeight="1" x14ac:dyDescent="0.25">
      <c r="A12" s="628"/>
      <c r="B12" s="629" t="s">
        <v>1016</v>
      </c>
      <c r="C12" s="1068"/>
      <c r="D12" s="1069" t="s">
        <v>1576</v>
      </c>
      <c r="E12" s="1070">
        <v>0</v>
      </c>
      <c r="F12" s="1071"/>
      <c r="G12" s="627"/>
      <c r="H12" s="627"/>
      <c r="I12" s="1000">
        <f t="shared" si="0"/>
        <v>0</v>
      </c>
      <c r="J12" s="627"/>
      <c r="K12" s="627"/>
      <c r="L12" s="1015"/>
    </row>
    <row r="13" spans="1:12" ht="15.95" customHeight="1" x14ac:dyDescent="0.25">
      <c r="A13" s="628"/>
      <c r="B13" s="629" t="s">
        <v>1017</v>
      </c>
      <c r="C13" s="1068"/>
      <c r="D13" s="1069" t="s">
        <v>1577</v>
      </c>
      <c r="E13" s="1070">
        <v>0</v>
      </c>
      <c r="F13" s="1071"/>
      <c r="G13" s="627"/>
      <c r="H13" s="627"/>
      <c r="I13" s="1000">
        <f t="shared" si="0"/>
        <v>0</v>
      </c>
      <c r="J13" s="627"/>
      <c r="K13" s="627"/>
      <c r="L13" s="1015"/>
    </row>
    <row r="14" spans="1:12" ht="15.95" customHeight="1" x14ac:dyDescent="0.25">
      <c r="A14" s="628"/>
      <c r="B14" s="629" t="s">
        <v>1018</v>
      </c>
      <c r="C14" s="1068"/>
      <c r="D14" s="1069" t="s">
        <v>1578</v>
      </c>
      <c r="E14" s="1070">
        <v>0</v>
      </c>
      <c r="F14" s="1071"/>
      <c r="G14" s="627"/>
      <c r="H14" s="627"/>
      <c r="I14" s="1000">
        <f t="shared" si="0"/>
        <v>0</v>
      </c>
      <c r="J14" s="627"/>
      <c r="K14" s="627"/>
      <c r="L14" s="1015"/>
    </row>
    <row r="15" spans="1:12" ht="15.95" customHeight="1" x14ac:dyDescent="0.25">
      <c r="A15" s="628"/>
      <c r="B15" s="629" t="s">
        <v>1019</v>
      </c>
      <c r="C15" s="1068"/>
      <c r="D15" s="1072" t="s">
        <v>1020</v>
      </c>
      <c r="E15" s="1070">
        <v>0</v>
      </c>
      <c r="F15" s="1071"/>
      <c r="G15" s="627"/>
      <c r="H15" s="627"/>
      <c r="I15" s="1000">
        <f t="shared" si="0"/>
        <v>0</v>
      </c>
      <c r="J15" s="627"/>
      <c r="K15" s="627"/>
      <c r="L15" s="1015"/>
    </row>
    <row r="16" spans="1:12" ht="15.75" customHeight="1" x14ac:dyDescent="0.25">
      <c r="A16" s="628"/>
      <c r="B16" s="1073"/>
      <c r="C16" s="630"/>
      <c r="D16" s="1074"/>
      <c r="E16" s="1074"/>
      <c r="F16" s="1075"/>
      <c r="G16" s="1075"/>
      <c r="H16" s="1075"/>
      <c r="I16" s="1000">
        <f t="shared" si="0"/>
        <v>0</v>
      </c>
      <c r="J16" s="1076"/>
      <c r="K16" s="1076"/>
      <c r="L16" s="1077"/>
    </row>
    <row r="17" spans="1:18" ht="15.75" x14ac:dyDescent="0.25">
      <c r="A17" s="628"/>
      <c r="B17" s="1073"/>
      <c r="C17" s="630"/>
      <c r="D17" s="1075"/>
      <c r="E17" s="1075"/>
      <c r="F17" s="1075"/>
      <c r="G17" s="1075"/>
      <c r="H17" s="1075"/>
      <c r="I17" s="1000">
        <f t="shared" si="0"/>
        <v>0</v>
      </c>
      <c r="J17" s="1076"/>
      <c r="K17" s="1076"/>
      <c r="L17" s="1077"/>
    </row>
    <row r="18" spans="1:18" ht="15.75" x14ac:dyDescent="0.25">
      <c r="A18" s="628"/>
      <c r="B18" s="1073"/>
      <c r="C18" s="630"/>
      <c r="D18" s="1075"/>
      <c r="E18" s="1075"/>
      <c r="F18" s="1075"/>
      <c r="G18" s="1075"/>
      <c r="H18" s="1075"/>
      <c r="I18" s="1000">
        <f>E18-G18-H18</f>
        <v>0</v>
      </c>
      <c r="J18" s="1076"/>
      <c r="K18" s="1076"/>
      <c r="L18" s="1077"/>
    </row>
    <row r="19" spans="1:18" ht="15.75" x14ac:dyDescent="0.25">
      <c r="A19" s="628"/>
      <c r="B19" s="1073"/>
      <c r="C19" s="630"/>
      <c r="D19" s="1075"/>
      <c r="E19" s="1075"/>
      <c r="F19" s="1075"/>
      <c r="G19" s="1075"/>
      <c r="H19" s="1075"/>
      <c r="I19" s="1000">
        <f>E19-G19-H19</f>
        <v>0</v>
      </c>
      <c r="J19" s="1076"/>
      <c r="K19" s="1076"/>
      <c r="L19" s="1077"/>
    </row>
    <row r="20" spans="1:18" ht="15.75" x14ac:dyDescent="0.25">
      <c r="A20" s="628"/>
      <c r="B20" s="1073"/>
      <c r="C20" s="630"/>
      <c r="D20" s="1074"/>
      <c r="E20" s="1075"/>
      <c r="F20" s="1075"/>
      <c r="G20" s="1075"/>
      <c r="H20" s="1075"/>
      <c r="I20" s="1000">
        <f>E20-G20-H20</f>
        <v>0</v>
      </c>
      <c r="J20" s="1076"/>
      <c r="K20" s="1076"/>
      <c r="L20" s="1077"/>
      <c r="M20" s="1624"/>
      <c r="N20" s="1625"/>
      <c r="O20" s="1625"/>
      <c r="P20" s="1625"/>
      <c r="Q20" s="1625"/>
      <c r="R20" s="1625"/>
    </row>
    <row r="21" spans="1:18" ht="15.75" x14ac:dyDescent="0.25">
      <c r="A21" s="628"/>
      <c r="B21" s="1073"/>
      <c r="C21" s="630"/>
      <c r="D21" s="1074"/>
      <c r="E21" s="1075"/>
      <c r="F21" s="1075"/>
      <c r="G21" s="1075"/>
      <c r="H21" s="1075"/>
      <c r="I21" s="1000">
        <f>E21-G21-H21</f>
        <v>0</v>
      </c>
      <c r="J21" s="1076"/>
      <c r="K21" s="1076"/>
      <c r="L21" s="1077"/>
      <c r="M21" s="1624"/>
      <c r="N21" s="1625"/>
      <c r="O21" s="1625"/>
      <c r="P21" s="1625"/>
      <c r="Q21" s="1625"/>
      <c r="R21" s="1625"/>
    </row>
    <row r="22" spans="1:18" ht="15.75" x14ac:dyDescent="0.25">
      <c r="A22" s="628"/>
      <c r="B22" s="1073"/>
      <c r="C22" s="630"/>
      <c r="D22" s="1074"/>
      <c r="E22" s="1075"/>
      <c r="F22" s="1075"/>
      <c r="G22" s="1075"/>
      <c r="H22" s="1075"/>
      <c r="I22" s="1000">
        <f>E22-G22-H22</f>
        <v>0</v>
      </c>
      <c r="J22" s="1076"/>
      <c r="K22" s="1076"/>
      <c r="L22" s="1077"/>
      <c r="M22" s="1624"/>
      <c r="N22" s="1625"/>
      <c r="O22" s="1625"/>
      <c r="P22" s="1625"/>
      <c r="Q22" s="1625"/>
      <c r="R22" s="1625"/>
    </row>
    <row r="23" spans="1:18" s="634" customFormat="1" ht="15.95" customHeight="1" x14ac:dyDescent="0.25">
      <c r="A23" s="632"/>
      <c r="B23" s="1078"/>
      <c r="C23" s="633"/>
      <c r="D23" s="1074"/>
      <c r="E23" s="1079"/>
      <c r="F23" s="1079"/>
      <c r="G23" s="1079"/>
      <c r="H23" s="1079"/>
      <c r="I23" s="1000">
        <f t="shared" si="0"/>
        <v>0</v>
      </c>
      <c r="J23" s="1080">
        <f>SUM(J24)</f>
        <v>0</v>
      </c>
      <c r="K23" s="1080">
        <f>SUM(K24)</f>
        <v>0</v>
      </c>
      <c r="L23" s="1081"/>
    </row>
    <row r="24" spans="1:18" ht="15.95" customHeight="1" x14ac:dyDescent="0.25">
      <c r="A24" s="628"/>
      <c r="B24" s="1073"/>
      <c r="C24" s="630"/>
      <c r="D24" s="1082"/>
      <c r="E24" s="1075"/>
      <c r="F24" s="1075"/>
      <c r="G24" s="1075"/>
      <c r="H24" s="1075"/>
      <c r="I24" s="1000"/>
      <c r="J24" s="1076"/>
      <c r="K24" s="1076"/>
      <c r="L24" s="1077"/>
    </row>
    <row r="25" spans="1:18" ht="15.95" customHeight="1" x14ac:dyDescent="0.25">
      <c r="A25" s="628"/>
      <c r="B25" s="1073"/>
      <c r="C25" s="630"/>
      <c r="D25" s="1083"/>
      <c r="E25" s="1075"/>
      <c r="F25" s="1075"/>
      <c r="G25" s="1075"/>
      <c r="H25" s="1075"/>
      <c r="I25" s="1000"/>
      <c r="J25" s="1076"/>
      <c r="K25" s="1076"/>
      <c r="L25" s="1077"/>
    </row>
    <row r="26" spans="1:18" ht="15.95" customHeight="1" x14ac:dyDescent="0.25">
      <c r="A26" s="628"/>
      <c r="B26" s="629"/>
      <c r="C26" s="630"/>
      <c r="D26" s="627"/>
      <c r="E26" s="627"/>
      <c r="F26" s="627"/>
      <c r="G26" s="627"/>
      <c r="H26" s="627"/>
      <c r="I26" s="1000"/>
      <c r="J26" s="631"/>
      <c r="K26" s="631"/>
      <c r="L26" s="1015"/>
    </row>
    <row r="27" spans="1:18" ht="15.95" customHeight="1" x14ac:dyDescent="0.25">
      <c r="A27" s="628"/>
      <c r="B27" s="629"/>
      <c r="C27" s="630"/>
      <c r="D27" s="627"/>
      <c r="E27" s="627"/>
      <c r="F27" s="627"/>
      <c r="G27" s="627"/>
      <c r="H27" s="627"/>
      <c r="I27" s="1000"/>
      <c r="J27" s="631"/>
      <c r="K27" s="631"/>
      <c r="L27" s="1015"/>
    </row>
    <row r="28" spans="1:18" s="635" customFormat="1" ht="18" customHeight="1" x14ac:dyDescent="0.2">
      <c r="A28" s="624"/>
      <c r="B28" s="624"/>
      <c r="C28" s="624"/>
      <c r="D28" s="624" t="s">
        <v>1023</v>
      </c>
      <c r="E28" s="626">
        <f>SUM(E5:E27)</f>
        <v>25000</v>
      </c>
      <c r="F28" s="624"/>
      <c r="G28" s="624">
        <f>SUM(G5:G27)</f>
        <v>0</v>
      </c>
      <c r="H28" s="626">
        <f>SUM(H5:H27)</f>
        <v>25000</v>
      </c>
      <c r="I28" s="626">
        <f>SUM(I5:I27)</f>
        <v>0</v>
      </c>
      <c r="J28" s="626">
        <f>SUM(J4+J23)</f>
        <v>0</v>
      </c>
      <c r="K28" s="626">
        <f>SUM(K4+K23)</f>
        <v>0</v>
      </c>
      <c r="L28" s="1014"/>
    </row>
  </sheetData>
  <sheetProtection selectLockedCells="1" selectUnlockedCells="1"/>
  <mergeCells count="4">
    <mergeCell ref="A2:C2"/>
    <mergeCell ref="M20:R20"/>
    <mergeCell ref="M21:R21"/>
    <mergeCell ref="M22:R22"/>
  </mergeCells>
  <printOptions horizontalCentered="1"/>
  <pageMargins left="0.27559055118110237" right="0.35433070866141736" top="1.0629921259842521" bottom="0.98425196850393704" header="0.51181102362204722" footer="0.78740157480314965"/>
  <pageSetup paperSize="9" scale="85" firstPageNumber="92" orientation="landscape" useFirstPageNumber="1" r:id="rId1"/>
  <headerFooter alignWithMargins="0">
    <oddHeader>&amp;C&amp;"Times New Roman CE,Félkövér"&amp;14Vecsés Város felújítási kiadásainak előirányzata felújításonként&amp;R&amp;"Arial,Normál"&amp;12 6.1. sz. melléklet
Ezer Ft</oddHeader>
    <oddFooter xml:space="preserve">&amp;C- &amp;P -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view="pageBreakPreview" topLeftCell="A76" zoomScale="120" zoomScaleNormal="100" zoomScaleSheetLayoutView="120" workbookViewId="0">
      <selection activeCell="D94" sqref="D94"/>
    </sheetView>
  </sheetViews>
  <sheetFormatPr defaultRowHeight="12.75" x14ac:dyDescent="0.2"/>
  <cols>
    <col min="1" max="1" width="3.6640625" style="87" customWidth="1"/>
    <col min="2" max="2" width="4.83203125" style="87" customWidth="1"/>
    <col min="3" max="3" width="2.1640625" style="87" customWidth="1"/>
    <col min="4" max="4" width="69.5" style="88" customWidth="1"/>
    <col min="5" max="5" width="15.83203125" style="87" customWidth="1"/>
    <col min="6" max="6" width="14.83203125" style="87" customWidth="1"/>
    <col min="7" max="7" width="16" style="87" customWidth="1"/>
    <col min="8" max="9" width="14" style="87" customWidth="1"/>
    <col min="10" max="11" width="16.6640625" style="87" hidden="1" customWidth="1"/>
    <col min="12" max="12" width="8.33203125" style="87" customWidth="1"/>
    <col min="13" max="13" width="12.83203125" style="87" customWidth="1"/>
    <col min="14" max="14" width="16.5" style="87" customWidth="1"/>
    <col min="15" max="15" width="13.83203125" style="87" customWidth="1"/>
    <col min="16" max="16" width="14.33203125" style="87" customWidth="1"/>
    <col min="17" max="16384" width="9.33203125" style="87"/>
  </cols>
  <sheetData>
    <row r="1" spans="1:17" s="93" customFormat="1" ht="73.5" customHeight="1" x14ac:dyDescent="0.2">
      <c r="A1" s="1630" t="s">
        <v>0</v>
      </c>
      <c r="B1" s="1630"/>
      <c r="C1" s="1630"/>
      <c r="D1" s="617" t="s">
        <v>1024</v>
      </c>
      <c r="E1" s="617" t="s">
        <v>1002</v>
      </c>
      <c r="F1" s="617" t="s">
        <v>1003</v>
      </c>
      <c r="G1" s="617" t="s">
        <v>1573</v>
      </c>
      <c r="H1" s="617" t="s">
        <v>1489</v>
      </c>
      <c r="I1" s="617" t="s">
        <v>1579</v>
      </c>
      <c r="J1" s="994" t="s">
        <v>1432</v>
      </c>
      <c r="K1" s="617" t="s">
        <v>1433</v>
      </c>
      <c r="L1" s="617" t="s">
        <v>3</v>
      </c>
    </row>
    <row r="2" spans="1:17" s="614" customFormat="1" ht="15" customHeight="1" x14ac:dyDescent="0.2">
      <c r="A2" s="636"/>
      <c r="B2" s="637"/>
      <c r="C2" s="637"/>
      <c r="D2" s="638">
        <v>1</v>
      </c>
      <c r="E2" s="638">
        <v>2</v>
      </c>
      <c r="F2" s="638">
        <v>3</v>
      </c>
      <c r="G2" s="638">
        <v>4</v>
      </c>
      <c r="H2" s="638">
        <v>5</v>
      </c>
      <c r="I2" s="638">
        <v>6</v>
      </c>
      <c r="J2" s="995">
        <v>7</v>
      </c>
      <c r="K2" s="638" t="s">
        <v>75</v>
      </c>
      <c r="L2" s="638">
        <v>9</v>
      </c>
    </row>
    <row r="3" spans="1:17" s="614" customFormat="1" ht="19.5" customHeight="1" x14ac:dyDescent="0.2">
      <c r="A3" s="1626" t="s">
        <v>1025</v>
      </c>
      <c r="B3" s="1626"/>
      <c r="C3" s="1626"/>
      <c r="D3" s="1626"/>
      <c r="E3" s="1084">
        <f>SUM(E4+E37+E72+E79)</f>
        <v>91500</v>
      </c>
      <c r="F3" s="1084"/>
      <c r="G3" s="1084">
        <f>SUM(G4+G37+G72+G79)</f>
        <v>0</v>
      </c>
      <c r="H3" s="1084">
        <f>SUM(H4+H37+H72+H79)</f>
        <v>91500</v>
      </c>
      <c r="I3" s="626"/>
      <c r="J3" s="996">
        <f>SUM(J4+J37+J72+J79)</f>
        <v>0</v>
      </c>
      <c r="K3" s="626">
        <f>SUM(K4+K37+K72+K79)</f>
        <v>0</v>
      </c>
      <c r="L3" s="639"/>
      <c r="N3" s="945"/>
      <c r="O3" s="945"/>
      <c r="P3" s="945"/>
      <c r="Q3" s="945"/>
    </row>
    <row r="4" spans="1:17" s="642" customFormat="1" ht="15.95" customHeight="1" x14ac:dyDescent="0.2">
      <c r="A4" s="640" t="s">
        <v>5</v>
      </c>
      <c r="B4" s="641"/>
      <c r="C4" s="641"/>
      <c r="D4" s="1085" t="s">
        <v>1026</v>
      </c>
      <c r="E4" s="1084">
        <f>SUM(E5:E24)</f>
        <v>25000</v>
      </c>
      <c r="F4" s="1084"/>
      <c r="G4" s="1084">
        <f>SUM(G5:G24)</f>
        <v>0</v>
      </c>
      <c r="H4" s="1084">
        <f>SUM(H5:H24)</f>
        <v>25000</v>
      </c>
      <c r="I4" s="626"/>
      <c r="J4" s="996">
        <f>SUM(J5:J36)</f>
        <v>0</v>
      </c>
      <c r="K4" s="626">
        <f>SUM(K5:K36)</f>
        <v>0</v>
      </c>
      <c r="L4" s="639"/>
    </row>
    <row r="5" spans="1:17" ht="15.75" x14ac:dyDescent="0.25">
      <c r="A5" s="643"/>
      <c r="B5" s="644" t="s">
        <v>1006</v>
      </c>
      <c r="C5" s="645"/>
      <c r="D5" s="1069" t="s">
        <v>1027</v>
      </c>
      <c r="E5" s="1070">
        <v>0</v>
      </c>
      <c r="F5" s="1086"/>
      <c r="G5" s="639">
        <v>0</v>
      </c>
      <c r="H5" s="1070">
        <v>0</v>
      </c>
      <c r="I5" s="1000">
        <f>E5-G5-H5</f>
        <v>0</v>
      </c>
      <c r="J5" s="997">
        <v>0</v>
      </c>
      <c r="K5" s="639">
        <v>0</v>
      </c>
      <c r="L5" s="639"/>
    </row>
    <row r="6" spans="1:17" ht="15.75" x14ac:dyDescent="0.25">
      <c r="A6" s="643"/>
      <c r="B6" s="644" t="s">
        <v>1008</v>
      </c>
      <c r="C6" s="645"/>
      <c r="D6" s="1072" t="s">
        <v>1580</v>
      </c>
      <c r="E6" s="1070">
        <v>500</v>
      </c>
      <c r="F6" s="1086">
        <v>2013</v>
      </c>
      <c r="G6" s="639"/>
      <c r="H6" s="1070">
        <v>500</v>
      </c>
      <c r="I6" s="1000">
        <f>E6-G6-H6</f>
        <v>0</v>
      </c>
      <c r="J6" s="997">
        <v>0</v>
      </c>
      <c r="K6" s="639">
        <v>0</v>
      </c>
      <c r="L6" s="639"/>
    </row>
    <row r="7" spans="1:17" ht="15.75" x14ac:dyDescent="0.25">
      <c r="A7" s="643"/>
      <c r="B7" s="644" t="s">
        <v>1010</v>
      </c>
      <c r="C7" s="645"/>
      <c r="D7" s="1087" t="s">
        <v>1581</v>
      </c>
      <c r="E7" s="1070">
        <v>1000</v>
      </c>
      <c r="F7" s="1086">
        <v>2013</v>
      </c>
      <c r="G7" s="639"/>
      <c r="H7" s="1070">
        <v>1000</v>
      </c>
      <c r="I7" s="1000">
        <f t="shared" ref="I7:I24" si="0">E7-G7-H7</f>
        <v>0</v>
      </c>
      <c r="J7" s="997"/>
      <c r="K7" s="639"/>
      <c r="L7" s="639"/>
    </row>
    <row r="8" spans="1:17" ht="15.75" x14ac:dyDescent="0.25">
      <c r="A8" s="643"/>
      <c r="B8" s="644" t="s">
        <v>939</v>
      </c>
      <c r="C8" s="645"/>
      <c r="D8" s="1072" t="s">
        <v>1582</v>
      </c>
      <c r="E8" s="1070">
        <v>0</v>
      </c>
      <c r="F8" s="1086"/>
      <c r="G8" s="639"/>
      <c r="H8" s="1070">
        <v>0</v>
      </c>
      <c r="I8" s="1000">
        <f t="shared" si="0"/>
        <v>0</v>
      </c>
      <c r="J8" s="997"/>
      <c r="K8" s="639"/>
      <c r="L8" s="639"/>
    </row>
    <row r="9" spans="1:17" ht="15.75" x14ac:dyDescent="0.25">
      <c r="A9" s="643"/>
      <c r="B9" s="644" t="s">
        <v>111</v>
      </c>
      <c r="C9" s="645"/>
      <c r="D9" s="1069" t="s">
        <v>1028</v>
      </c>
      <c r="E9" s="1070">
        <v>5000</v>
      </c>
      <c r="F9" s="1086">
        <v>2013</v>
      </c>
      <c r="G9" s="639"/>
      <c r="H9" s="1070">
        <v>5000</v>
      </c>
      <c r="I9" s="1000">
        <f t="shared" si="0"/>
        <v>0</v>
      </c>
      <c r="J9" s="997"/>
      <c r="K9" s="639"/>
      <c r="L9" s="639"/>
    </row>
    <row r="10" spans="1:17" ht="15.75" x14ac:dyDescent="0.25">
      <c r="A10" s="643"/>
      <c r="B10" s="644" t="s">
        <v>284</v>
      </c>
      <c r="C10" s="645"/>
      <c r="D10" s="1069" t="s">
        <v>1583</v>
      </c>
      <c r="E10" s="1070">
        <v>500</v>
      </c>
      <c r="F10" s="1086">
        <v>2013</v>
      </c>
      <c r="G10" s="639"/>
      <c r="H10" s="1070">
        <v>500</v>
      </c>
      <c r="I10" s="1000">
        <f t="shared" si="0"/>
        <v>0</v>
      </c>
      <c r="J10" s="997"/>
      <c r="K10" s="639"/>
      <c r="L10" s="639"/>
    </row>
    <row r="11" spans="1:17" ht="15.75" x14ac:dyDescent="0.25">
      <c r="A11" s="643"/>
      <c r="B11" s="644" t="s">
        <v>1015</v>
      </c>
      <c r="C11" s="645"/>
      <c r="D11" s="1069" t="s">
        <v>1584</v>
      </c>
      <c r="E11" s="1070">
        <v>1000</v>
      </c>
      <c r="F11" s="1086">
        <v>2013</v>
      </c>
      <c r="G11" s="639"/>
      <c r="H11" s="1070">
        <v>1000</v>
      </c>
      <c r="I11" s="1000">
        <f t="shared" si="0"/>
        <v>0</v>
      </c>
      <c r="J11" s="997"/>
      <c r="K11" s="639"/>
      <c r="L11" s="639"/>
    </row>
    <row r="12" spans="1:17" ht="15.75" x14ac:dyDescent="0.25">
      <c r="A12" s="643"/>
      <c r="B12" s="644" t="s">
        <v>1016</v>
      </c>
      <c r="C12" s="645"/>
      <c r="D12" s="1069" t="s">
        <v>1585</v>
      </c>
      <c r="E12" s="1070">
        <v>0</v>
      </c>
      <c r="F12" s="1086"/>
      <c r="G12" s="639"/>
      <c r="H12" s="1070">
        <v>0</v>
      </c>
      <c r="I12" s="1000">
        <f t="shared" si="0"/>
        <v>0</v>
      </c>
      <c r="J12" s="997"/>
      <c r="K12" s="639"/>
      <c r="L12" s="639"/>
    </row>
    <row r="13" spans="1:17" ht="15.75" x14ac:dyDescent="0.25">
      <c r="A13" s="643"/>
      <c r="B13" s="644" t="s">
        <v>1017</v>
      </c>
      <c r="C13" s="645"/>
      <c r="D13" s="1069" t="s">
        <v>1586</v>
      </c>
      <c r="E13" s="1070">
        <v>0</v>
      </c>
      <c r="F13" s="1086"/>
      <c r="G13" s="639"/>
      <c r="H13" s="1070">
        <v>0</v>
      </c>
      <c r="I13" s="1000">
        <f t="shared" si="0"/>
        <v>0</v>
      </c>
      <c r="J13" s="997"/>
      <c r="K13" s="639"/>
      <c r="L13" s="639"/>
    </row>
    <row r="14" spans="1:17" ht="15.75" x14ac:dyDescent="0.25">
      <c r="A14" s="643"/>
      <c r="B14" s="644" t="s">
        <v>1018</v>
      </c>
      <c r="C14" s="645"/>
      <c r="D14" s="1088" t="s">
        <v>1587</v>
      </c>
      <c r="E14" s="1070">
        <v>4000</v>
      </c>
      <c r="F14" s="1086">
        <v>2013</v>
      </c>
      <c r="G14" s="639"/>
      <c r="H14" s="1070">
        <v>4000</v>
      </c>
      <c r="I14" s="1000">
        <f t="shared" si="0"/>
        <v>0</v>
      </c>
      <c r="J14" s="997"/>
      <c r="K14" s="639"/>
      <c r="L14" s="639"/>
    </row>
    <row r="15" spans="1:17" ht="15.75" x14ac:dyDescent="0.25">
      <c r="A15" s="643"/>
      <c r="B15" s="644" t="s">
        <v>1019</v>
      </c>
      <c r="C15" s="645"/>
      <c r="D15" s="1088" t="s">
        <v>1588</v>
      </c>
      <c r="E15" s="1070">
        <v>5000</v>
      </c>
      <c r="F15" s="1086">
        <v>2013</v>
      </c>
      <c r="G15" s="639"/>
      <c r="H15" s="1070">
        <v>5000</v>
      </c>
      <c r="I15" s="1000">
        <f t="shared" si="0"/>
        <v>0</v>
      </c>
      <c r="J15" s="997"/>
      <c r="K15" s="639"/>
      <c r="L15" s="639"/>
    </row>
    <row r="16" spans="1:17" ht="15.75" x14ac:dyDescent="0.25">
      <c r="A16" s="643"/>
      <c r="B16" s="644" t="s">
        <v>1021</v>
      </c>
      <c r="C16" s="645"/>
      <c r="D16" s="1072" t="s">
        <v>1032</v>
      </c>
      <c r="E16" s="1070">
        <v>0</v>
      </c>
      <c r="F16" s="1086"/>
      <c r="G16" s="639"/>
      <c r="H16" s="1070">
        <v>0</v>
      </c>
      <c r="I16" s="1000">
        <f t="shared" si="0"/>
        <v>0</v>
      </c>
      <c r="J16" s="997"/>
      <c r="K16" s="639"/>
      <c r="L16" s="639"/>
    </row>
    <row r="17" spans="1:12" ht="15.75" x14ac:dyDescent="0.25">
      <c r="A17" s="643"/>
      <c r="B17" s="644" t="s">
        <v>1022</v>
      </c>
      <c r="C17" s="645"/>
      <c r="D17" s="1072" t="s">
        <v>1034</v>
      </c>
      <c r="E17" s="1070">
        <v>0</v>
      </c>
      <c r="F17" s="1086"/>
      <c r="G17" s="639"/>
      <c r="H17" s="1070">
        <v>0</v>
      </c>
      <c r="I17" s="1000">
        <f t="shared" si="0"/>
        <v>0</v>
      </c>
      <c r="J17" s="997"/>
      <c r="K17" s="639"/>
      <c r="L17" s="639"/>
    </row>
    <row r="18" spans="1:12" ht="15.75" x14ac:dyDescent="0.25">
      <c r="A18" s="643"/>
      <c r="B18" s="644" t="s">
        <v>1033</v>
      </c>
      <c r="C18" s="645"/>
      <c r="D18" s="1089" t="s">
        <v>1589</v>
      </c>
      <c r="E18" s="1090">
        <v>500</v>
      </c>
      <c r="F18" s="1091">
        <v>2013</v>
      </c>
      <c r="G18" s="639"/>
      <c r="H18" s="1090">
        <v>500</v>
      </c>
      <c r="I18" s="1000">
        <f t="shared" si="0"/>
        <v>0</v>
      </c>
      <c r="J18" s="997"/>
      <c r="K18" s="639"/>
      <c r="L18" s="639"/>
    </row>
    <row r="19" spans="1:12" ht="15.75" x14ac:dyDescent="0.25">
      <c r="A19" s="643"/>
      <c r="B19" s="644" t="s">
        <v>1035</v>
      </c>
      <c r="C19" s="645"/>
      <c r="D19" s="1089" t="s">
        <v>1030</v>
      </c>
      <c r="E19" s="1070">
        <v>0</v>
      </c>
      <c r="F19" s="1086"/>
      <c r="G19" s="639"/>
      <c r="H19" s="1070">
        <v>0</v>
      </c>
      <c r="I19" s="1000">
        <f t="shared" si="0"/>
        <v>0</v>
      </c>
      <c r="J19" s="997"/>
      <c r="K19" s="639"/>
      <c r="L19" s="639"/>
    </row>
    <row r="20" spans="1:12" ht="15.75" x14ac:dyDescent="0.25">
      <c r="A20" s="643"/>
      <c r="B20" s="644" t="s">
        <v>1037</v>
      </c>
      <c r="C20" s="645"/>
      <c r="D20" s="1089" t="s">
        <v>1590</v>
      </c>
      <c r="E20" s="1070">
        <v>1500</v>
      </c>
      <c r="F20" s="1086">
        <v>2013</v>
      </c>
      <c r="G20" s="639"/>
      <c r="H20" s="1070">
        <v>1500</v>
      </c>
      <c r="I20" s="1000">
        <f t="shared" si="0"/>
        <v>0</v>
      </c>
      <c r="J20" s="997"/>
      <c r="K20" s="639"/>
      <c r="L20" s="639"/>
    </row>
    <row r="21" spans="1:12" ht="15.75" x14ac:dyDescent="0.25">
      <c r="A21" s="643"/>
      <c r="B21" s="644" t="s">
        <v>1038</v>
      </c>
      <c r="C21" s="645"/>
      <c r="D21" s="1089" t="s">
        <v>1031</v>
      </c>
      <c r="E21" s="1090">
        <v>0</v>
      </c>
      <c r="F21" s="1086">
        <v>2013</v>
      </c>
      <c r="G21" s="639"/>
      <c r="H21" s="1090">
        <v>0</v>
      </c>
      <c r="I21" s="1000">
        <f t="shared" si="0"/>
        <v>0</v>
      </c>
      <c r="J21" s="997"/>
      <c r="K21" s="639"/>
      <c r="L21" s="639"/>
    </row>
    <row r="22" spans="1:12" ht="15.75" x14ac:dyDescent="0.25">
      <c r="A22" s="643"/>
      <c r="B22" s="644" t="s">
        <v>1039</v>
      </c>
      <c r="C22" s="645"/>
      <c r="D22" s="1089" t="s">
        <v>1036</v>
      </c>
      <c r="E22" s="1090">
        <v>3000</v>
      </c>
      <c r="F22" s="1086">
        <v>2013</v>
      </c>
      <c r="G22" s="639"/>
      <c r="H22" s="1090">
        <v>3000</v>
      </c>
      <c r="I22" s="1000">
        <f t="shared" si="0"/>
        <v>0</v>
      </c>
      <c r="J22" s="997"/>
      <c r="K22" s="639"/>
      <c r="L22" s="639"/>
    </row>
    <row r="23" spans="1:12" ht="31.5" x14ac:dyDescent="0.25">
      <c r="A23" s="643"/>
      <c r="B23" s="644" t="s">
        <v>1040</v>
      </c>
      <c r="C23" s="645"/>
      <c r="D23" s="1089" t="s">
        <v>1591</v>
      </c>
      <c r="E23" s="1090">
        <v>0</v>
      </c>
      <c r="F23" s="1086">
        <v>2013</v>
      </c>
      <c r="G23" s="639"/>
      <c r="H23" s="1090">
        <v>0</v>
      </c>
      <c r="I23" s="1000">
        <f t="shared" si="0"/>
        <v>0</v>
      </c>
      <c r="J23" s="997"/>
      <c r="K23" s="639"/>
      <c r="L23" s="639"/>
    </row>
    <row r="24" spans="1:12" ht="31.5" x14ac:dyDescent="0.25">
      <c r="A24" s="643"/>
      <c r="B24" s="644" t="s">
        <v>1042</v>
      </c>
      <c r="C24" s="645"/>
      <c r="D24" s="1089" t="s">
        <v>1041</v>
      </c>
      <c r="E24" s="1090">
        <v>3000</v>
      </c>
      <c r="F24" s="1086">
        <v>2013</v>
      </c>
      <c r="G24" s="639"/>
      <c r="H24" s="1090">
        <v>3000</v>
      </c>
      <c r="I24" s="1000">
        <f t="shared" si="0"/>
        <v>0</v>
      </c>
      <c r="J24" s="997"/>
      <c r="K24" s="639"/>
      <c r="L24" s="639"/>
    </row>
    <row r="25" spans="1:12" ht="15.75" hidden="1" x14ac:dyDescent="0.25">
      <c r="A25" s="643"/>
      <c r="B25" s="644" t="s">
        <v>1043</v>
      </c>
      <c r="C25" s="645"/>
      <c r="D25" s="1092"/>
      <c r="E25" s="1093"/>
      <c r="F25" s="646"/>
      <c r="G25" s="639"/>
      <c r="H25" s="639"/>
      <c r="I25" s="1000"/>
      <c r="J25" s="997"/>
      <c r="K25" s="639"/>
      <c r="L25" s="639"/>
    </row>
    <row r="26" spans="1:12" ht="15.75" hidden="1" x14ac:dyDescent="0.25">
      <c r="A26" s="643"/>
      <c r="B26" s="644" t="s">
        <v>1044</v>
      </c>
      <c r="C26" s="645"/>
      <c r="D26" s="647"/>
      <c r="E26" s="639"/>
      <c r="F26" s="646"/>
      <c r="G26" s="639"/>
      <c r="H26" s="639"/>
      <c r="I26" s="1000"/>
      <c r="J26" s="997"/>
      <c r="K26" s="639"/>
      <c r="L26" s="639"/>
    </row>
    <row r="27" spans="1:12" ht="15.75" hidden="1" x14ac:dyDescent="0.25">
      <c r="A27" s="643"/>
      <c r="B27" s="644" t="s">
        <v>1045</v>
      </c>
      <c r="C27" s="645"/>
      <c r="D27" s="647"/>
      <c r="E27" s="639"/>
      <c r="F27" s="646"/>
      <c r="G27" s="639"/>
      <c r="H27" s="639"/>
      <c r="I27" s="1000"/>
      <c r="J27" s="997"/>
      <c r="K27" s="639"/>
      <c r="L27" s="639"/>
    </row>
    <row r="28" spans="1:12" ht="15.75" hidden="1" x14ac:dyDescent="0.25">
      <c r="A28" s="643"/>
      <c r="B28" s="644" t="s">
        <v>1046</v>
      </c>
      <c r="C28" s="645"/>
      <c r="D28" s="647"/>
      <c r="E28" s="639"/>
      <c r="F28" s="646"/>
      <c r="G28" s="639"/>
      <c r="H28" s="639"/>
      <c r="I28" s="1000"/>
      <c r="J28" s="997"/>
      <c r="K28" s="639"/>
      <c r="L28" s="639"/>
    </row>
    <row r="29" spans="1:12" ht="15.75" hidden="1" x14ac:dyDescent="0.25">
      <c r="A29" s="643"/>
      <c r="B29" s="644" t="s">
        <v>1047</v>
      </c>
      <c r="C29" s="645"/>
      <c r="D29" s="647"/>
      <c r="E29" s="639"/>
      <c r="F29" s="646"/>
      <c r="G29" s="639"/>
      <c r="H29" s="639"/>
      <c r="I29" s="1000"/>
      <c r="J29" s="997"/>
      <c r="K29" s="639"/>
      <c r="L29" s="639"/>
    </row>
    <row r="30" spans="1:12" ht="15.75" hidden="1" x14ac:dyDescent="0.25">
      <c r="A30" s="643"/>
      <c r="B30" s="644" t="s">
        <v>1048</v>
      </c>
      <c r="C30" s="645"/>
      <c r="D30" s="647"/>
      <c r="E30" s="639"/>
      <c r="F30" s="646"/>
      <c r="G30" s="639"/>
      <c r="H30" s="639"/>
      <c r="I30" s="1000"/>
      <c r="J30" s="997"/>
      <c r="K30" s="639"/>
      <c r="L30" s="639"/>
    </row>
    <row r="31" spans="1:12" ht="15.75" hidden="1" x14ac:dyDescent="0.25">
      <c r="A31" s="643"/>
      <c r="B31" s="644" t="s">
        <v>1049</v>
      </c>
      <c r="C31" s="645"/>
      <c r="D31" s="647"/>
      <c r="E31" s="639"/>
      <c r="F31" s="646"/>
      <c r="G31" s="639"/>
      <c r="H31" s="639"/>
      <c r="I31" s="1000"/>
      <c r="J31" s="997"/>
      <c r="K31" s="639"/>
      <c r="L31" s="639"/>
    </row>
    <row r="32" spans="1:12" ht="15.75" hidden="1" x14ac:dyDescent="0.25">
      <c r="A32" s="643"/>
      <c r="B32" s="644" t="s">
        <v>1050</v>
      </c>
      <c r="C32" s="645"/>
      <c r="D32" s="647"/>
      <c r="E32" s="639"/>
      <c r="F32" s="646"/>
      <c r="G32" s="639"/>
      <c r="H32" s="639"/>
      <c r="I32" s="1000"/>
      <c r="J32" s="997"/>
      <c r="K32" s="639"/>
      <c r="L32" s="639"/>
    </row>
    <row r="33" spans="1:12" ht="15.75" hidden="1" x14ac:dyDescent="0.25">
      <c r="A33" s="643"/>
      <c r="B33" s="644" t="s">
        <v>1445</v>
      </c>
      <c r="C33" s="645"/>
      <c r="D33" s="647"/>
      <c r="E33" s="639"/>
      <c r="F33" s="646"/>
      <c r="G33" s="639"/>
      <c r="H33" s="639"/>
      <c r="I33" s="1000"/>
      <c r="J33" s="997"/>
      <c r="K33" s="639"/>
      <c r="L33" s="639"/>
    </row>
    <row r="34" spans="1:12" ht="15.75" hidden="1" x14ac:dyDescent="0.25">
      <c r="A34" s="643"/>
      <c r="B34" s="644" t="s">
        <v>1446</v>
      </c>
      <c r="C34" s="645"/>
      <c r="D34" s="647"/>
      <c r="E34" s="639"/>
      <c r="F34" s="646"/>
      <c r="G34" s="639"/>
      <c r="H34" s="639"/>
      <c r="I34" s="1000"/>
      <c r="J34" s="997"/>
      <c r="K34" s="639"/>
      <c r="L34" s="639"/>
    </row>
    <row r="35" spans="1:12" ht="15.75" hidden="1" x14ac:dyDescent="0.25">
      <c r="A35" s="643"/>
      <c r="B35" s="644" t="s">
        <v>1452</v>
      </c>
      <c r="C35" s="645"/>
      <c r="D35" s="647"/>
      <c r="E35" s="639"/>
      <c r="F35" s="646"/>
      <c r="G35" s="639"/>
      <c r="H35" s="639"/>
      <c r="I35" s="1000"/>
      <c r="J35" s="997"/>
      <c r="K35" s="639"/>
      <c r="L35" s="639"/>
    </row>
    <row r="36" spans="1:12" ht="15.75" hidden="1" x14ac:dyDescent="0.25">
      <c r="A36" s="643"/>
      <c r="B36" s="644" t="s">
        <v>1453</v>
      </c>
      <c r="C36" s="645"/>
      <c r="D36" s="647"/>
      <c r="E36" s="639"/>
      <c r="F36" s="646"/>
      <c r="G36" s="639"/>
      <c r="H36" s="639"/>
      <c r="I36" s="1000"/>
      <c r="J36" s="997"/>
      <c r="K36" s="639"/>
      <c r="L36" s="639"/>
    </row>
    <row r="37" spans="1:12" ht="15.95" customHeight="1" x14ac:dyDescent="0.2">
      <c r="A37" s="649" t="s">
        <v>6</v>
      </c>
      <c r="B37" s="645"/>
      <c r="C37" s="645"/>
      <c r="D37" s="1067" t="s">
        <v>1051</v>
      </c>
      <c r="E37" s="1084">
        <f>SUM(E38:E56)</f>
        <v>33000</v>
      </c>
      <c r="F37" s="624"/>
      <c r="G37" s="624"/>
      <c r="H37" s="626">
        <f>SUM(H38:H61)</f>
        <v>33000</v>
      </c>
      <c r="I37" s="626"/>
      <c r="J37" s="996">
        <f>SUM(J38:J71)</f>
        <v>0</v>
      </c>
      <c r="K37" s="626">
        <f>SUM(K38:K71)</f>
        <v>0</v>
      </c>
      <c r="L37" s="626"/>
    </row>
    <row r="38" spans="1:12" ht="15.75" x14ac:dyDescent="0.25">
      <c r="A38" s="643"/>
      <c r="B38" s="644" t="s">
        <v>310</v>
      </c>
      <c r="C38" s="645"/>
      <c r="D38" s="1072" t="s">
        <v>1052</v>
      </c>
      <c r="E38" s="1070">
        <v>5000</v>
      </c>
      <c r="F38" s="1086">
        <v>2013</v>
      </c>
      <c r="G38" s="639"/>
      <c r="H38" s="1070">
        <v>5000</v>
      </c>
      <c r="I38" s="1000">
        <f t="shared" ref="I38:I71" si="1">E38-G38-H38</f>
        <v>0</v>
      </c>
      <c r="J38" s="997"/>
      <c r="K38" s="639"/>
      <c r="L38" s="639"/>
    </row>
    <row r="39" spans="1:12" ht="15.75" x14ac:dyDescent="0.25">
      <c r="A39" s="643"/>
      <c r="B39" s="644" t="s">
        <v>312</v>
      </c>
      <c r="C39" s="645"/>
      <c r="D39" s="1088" t="s">
        <v>1071</v>
      </c>
      <c r="E39" s="1070">
        <v>1000</v>
      </c>
      <c r="F39" s="1086">
        <v>2013</v>
      </c>
      <c r="G39" s="639"/>
      <c r="H39" s="1070">
        <v>1000</v>
      </c>
      <c r="I39" s="1000">
        <f t="shared" si="1"/>
        <v>0</v>
      </c>
      <c r="J39" s="997"/>
      <c r="K39" s="639"/>
      <c r="L39" s="639"/>
    </row>
    <row r="40" spans="1:12" ht="15.75" x14ac:dyDescent="0.25">
      <c r="A40" s="643"/>
      <c r="B40" s="644" t="s">
        <v>313</v>
      </c>
      <c r="C40" s="645"/>
      <c r="D40" s="1072" t="s">
        <v>1592</v>
      </c>
      <c r="E40" s="1070">
        <v>25000</v>
      </c>
      <c r="F40" s="1086">
        <v>2013</v>
      </c>
      <c r="G40" s="639"/>
      <c r="H40" s="1070">
        <v>25000</v>
      </c>
      <c r="I40" s="1000">
        <f t="shared" si="1"/>
        <v>0</v>
      </c>
      <c r="J40" s="997"/>
      <c r="K40" s="639"/>
      <c r="L40" s="639"/>
    </row>
    <row r="41" spans="1:12" ht="15.75" x14ac:dyDescent="0.25">
      <c r="A41" s="643"/>
      <c r="B41" s="644" t="s">
        <v>314</v>
      </c>
      <c r="C41" s="645"/>
      <c r="D41" s="1069" t="s">
        <v>1053</v>
      </c>
      <c r="E41" s="1070">
        <v>0</v>
      </c>
      <c r="F41" s="1086"/>
      <c r="G41" s="639"/>
      <c r="H41" s="1070">
        <v>0</v>
      </c>
      <c r="I41" s="1000">
        <f t="shared" si="1"/>
        <v>0</v>
      </c>
      <c r="J41" s="997"/>
      <c r="K41" s="639"/>
      <c r="L41" s="639"/>
    </row>
    <row r="42" spans="1:12" ht="15.75" x14ac:dyDescent="0.25">
      <c r="A42" s="643"/>
      <c r="B42" s="644" t="s">
        <v>315</v>
      </c>
      <c r="C42" s="645"/>
      <c r="D42" s="1069" t="s">
        <v>1593</v>
      </c>
      <c r="E42" s="1070">
        <v>0</v>
      </c>
      <c r="F42" s="1086"/>
      <c r="G42" s="639"/>
      <c r="H42" s="1070">
        <v>0</v>
      </c>
      <c r="I42" s="1000">
        <f t="shared" si="1"/>
        <v>0</v>
      </c>
      <c r="J42" s="997"/>
      <c r="K42" s="639"/>
      <c r="L42" s="639"/>
    </row>
    <row r="43" spans="1:12" ht="15.75" x14ac:dyDescent="0.25">
      <c r="A43" s="643"/>
      <c r="B43" s="644" t="s">
        <v>316</v>
      </c>
      <c r="C43" s="645"/>
      <c r="D43" s="1072" t="s">
        <v>1594</v>
      </c>
      <c r="E43" s="1070">
        <v>0</v>
      </c>
      <c r="F43" s="1086"/>
      <c r="G43" s="639"/>
      <c r="H43" s="1070">
        <v>0</v>
      </c>
      <c r="I43" s="1000">
        <f t="shared" si="1"/>
        <v>0</v>
      </c>
      <c r="J43" s="997"/>
      <c r="K43" s="639"/>
      <c r="L43" s="639"/>
    </row>
    <row r="44" spans="1:12" ht="15.75" x14ac:dyDescent="0.25">
      <c r="A44" s="643"/>
      <c r="B44" s="644" t="s">
        <v>317</v>
      </c>
      <c r="C44" s="645"/>
      <c r="D44" s="1089" t="s">
        <v>1595</v>
      </c>
      <c r="E44" s="1090">
        <v>2000</v>
      </c>
      <c r="F44" s="1086">
        <v>2013</v>
      </c>
      <c r="G44" s="639"/>
      <c r="H44" s="1090">
        <v>2000</v>
      </c>
      <c r="I44" s="1000">
        <f t="shared" si="1"/>
        <v>0</v>
      </c>
      <c r="J44" s="997"/>
      <c r="K44" s="639"/>
      <c r="L44" s="639"/>
    </row>
    <row r="45" spans="1:12" ht="15.75" x14ac:dyDescent="0.25">
      <c r="A45" s="643"/>
      <c r="B45" s="644" t="s">
        <v>1054</v>
      </c>
      <c r="C45" s="645"/>
      <c r="D45" s="1072" t="s">
        <v>1055</v>
      </c>
      <c r="E45" s="1070">
        <v>0</v>
      </c>
      <c r="F45" s="1086"/>
      <c r="G45" s="639"/>
      <c r="H45" s="1070">
        <v>0</v>
      </c>
      <c r="I45" s="1000">
        <f t="shared" si="1"/>
        <v>0</v>
      </c>
      <c r="J45" s="997"/>
      <c r="K45" s="639"/>
      <c r="L45" s="639"/>
    </row>
    <row r="46" spans="1:12" ht="15.75" x14ac:dyDescent="0.25">
      <c r="A46" s="643"/>
      <c r="B46" s="644" t="s">
        <v>1056</v>
      </c>
      <c r="C46" s="645"/>
      <c r="D46" s="1072" t="s">
        <v>1059</v>
      </c>
      <c r="E46" s="1070">
        <v>0</v>
      </c>
      <c r="F46" s="1086"/>
      <c r="G46" s="639"/>
      <c r="H46" s="1070">
        <v>0</v>
      </c>
      <c r="I46" s="1000">
        <f t="shared" si="1"/>
        <v>0</v>
      </c>
      <c r="J46" s="997"/>
      <c r="K46" s="639"/>
      <c r="L46" s="639"/>
    </row>
    <row r="47" spans="1:12" ht="15.75" x14ac:dyDescent="0.25">
      <c r="A47" s="643"/>
      <c r="B47" s="644" t="s">
        <v>1057</v>
      </c>
      <c r="C47" s="645"/>
      <c r="D47" s="1089" t="s">
        <v>1596</v>
      </c>
      <c r="E47" s="1070">
        <v>0</v>
      </c>
      <c r="F47" s="1086"/>
      <c r="G47" s="639"/>
      <c r="H47" s="1070">
        <v>0</v>
      </c>
      <c r="I47" s="1000">
        <f t="shared" si="1"/>
        <v>0</v>
      </c>
      <c r="J47" s="997"/>
      <c r="K47" s="639"/>
      <c r="L47" s="639"/>
    </row>
    <row r="48" spans="1:12" ht="15" customHeight="1" x14ac:dyDescent="0.25">
      <c r="A48" s="643"/>
      <c r="B48" s="644" t="s">
        <v>1058</v>
      </c>
      <c r="C48" s="645"/>
      <c r="D48" s="1069" t="s">
        <v>1597</v>
      </c>
      <c r="E48" s="1070">
        <v>0</v>
      </c>
      <c r="F48" s="1086"/>
      <c r="G48" s="639"/>
      <c r="H48" s="1070">
        <v>0</v>
      </c>
      <c r="I48" s="1000">
        <f t="shared" si="1"/>
        <v>0</v>
      </c>
      <c r="J48" s="997"/>
      <c r="K48" s="639"/>
      <c r="L48" s="639"/>
    </row>
    <row r="49" spans="1:16" ht="15.75" customHeight="1" x14ac:dyDescent="0.25">
      <c r="A49" s="643"/>
      <c r="B49" s="644" t="s">
        <v>1060</v>
      </c>
      <c r="C49" s="645"/>
      <c r="D49" s="1069" t="s">
        <v>1064</v>
      </c>
      <c r="E49" s="1070">
        <v>0</v>
      </c>
      <c r="F49" s="1086"/>
      <c r="G49" s="639"/>
      <c r="H49" s="1070">
        <v>0</v>
      </c>
      <c r="I49" s="1000">
        <f t="shared" si="1"/>
        <v>0</v>
      </c>
      <c r="J49" s="997"/>
      <c r="K49" s="639"/>
      <c r="L49" s="639"/>
    </row>
    <row r="50" spans="1:16" ht="15.75" x14ac:dyDescent="0.25">
      <c r="A50" s="643"/>
      <c r="B50" s="644" t="s">
        <v>1061</v>
      </c>
      <c r="C50" s="645"/>
      <c r="D50" s="1069" t="s">
        <v>1066</v>
      </c>
      <c r="E50" s="1070">
        <v>0</v>
      </c>
      <c r="F50" s="1086"/>
      <c r="G50" s="639"/>
      <c r="H50" s="1070">
        <v>0</v>
      </c>
      <c r="I50" s="1000">
        <f t="shared" si="1"/>
        <v>0</v>
      </c>
      <c r="J50" s="997"/>
      <c r="K50" s="639"/>
      <c r="L50" s="639"/>
    </row>
    <row r="51" spans="1:16" ht="15.75" x14ac:dyDescent="0.25">
      <c r="A51" s="643"/>
      <c r="B51" s="644" t="s">
        <v>1062</v>
      </c>
      <c r="C51" s="645"/>
      <c r="D51" s="1072" t="s">
        <v>1598</v>
      </c>
      <c r="E51" s="1070">
        <v>0</v>
      </c>
      <c r="F51" s="1086"/>
      <c r="G51" s="639"/>
      <c r="H51" s="1070">
        <v>0</v>
      </c>
      <c r="I51" s="1000">
        <f t="shared" si="1"/>
        <v>0</v>
      </c>
      <c r="J51" s="997"/>
      <c r="K51" s="639"/>
      <c r="L51" s="639"/>
    </row>
    <row r="52" spans="1:16" ht="15.75" customHeight="1" x14ac:dyDescent="0.25">
      <c r="A52" s="643"/>
      <c r="B52" s="644" t="s">
        <v>1063</v>
      </c>
      <c r="C52" s="645"/>
      <c r="D52" s="1072" t="s">
        <v>1599</v>
      </c>
      <c r="E52" s="1070">
        <v>0</v>
      </c>
      <c r="F52" s="1086"/>
      <c r="G52" s="639"/>
      <c r="H52" s="1070">
        <v>0</v>
      </c>
      <c r="I52" s="1000">
        <f t="shared" si="1"/>
        <v>0</v>
      </c>
      <c r="J52" s="997"/>
      <c r="K52" s="639"/>
      <c r="L52" s="639"/>
    </row>
    <row r="53" spans="1:16" ht="15.75" x14ac:dyDescent="0.25">
      <c r="A53" s="643"/>
      <c r="B53" s="644" t="s">
        <v>1065</v>
      </c>
      <c r="C53" s="645"/>
      <c r="D53" s="1072" t="s">
        <v>1600</v>
      </c>
      <c r="E53" s="1070">
        <v>0</v>
      </c>
      <c r="F53" s="1086"/>
      <c r="G53" s="639"/>
      <c r="H53" s="1070">
        <v>0</v>
      </c>
      <c r="I53" s="1000">
        <f t="shared" si="1"/>
        <v>0</v>
      </c>
      <c r="J53" s="997"/>
      <c r="K53" s="639"/>
      <c r="L53" s="639"/>
    </row>
    <row r="54" spans="1:16" ht="15.75" x14ac:dyDescent="0.25">
      <c r="A54" s="643"/>
      <c r="B54" s="644" t="s">
        <v>1067</v>
      </c>
      <c r="C54" s="645"/>
      <c r="D54" s="1072" t="s">
        <v>1601</v>
      </c>
      <c r="E54" s="1070">
        <v>0</v>
      </c>
      <c r="F54" s="1086"/>
      <c r="G54" s="639"/>
      <c r="H54" s="1070">
        <v>0</v>
      </c>
      <c r="I54" s="1000">
        <f t="shared" si="1"/>
        <v>0</v>
      </c>
      <c r="J54" s="997"/>
      <c r="K54" s="639"/>
      <c r="L54" s="639"/>
    </row>
    <row r="55" spans="1:16" ht="15.75" x14ac:dyDescent="0.25">
      <c r="A55" s="643"/>
      <c r="B55" s="644" t="s">
        <v>1068</v>
      </c>
      <c r="C55" s="645"/>
      <c r="D55" s="1069" t="s">
        <v>1076</v>
      </c>
      <c r="E55" s="1070">
        <v>0</v>
      </c>
      <c r="F55" s="1086"/>
      <c r="G55" s="639"/>
      <c r="H55" s="1070">
        <v>0</v>
      </c>
      <c r="I55" s="1000">
        <f t="shared" si="1"/>
        <v>0</v>
      </c>
      <c r="J55" s="997"/>
      <c r="K55" s="639"/>
      <c r="L55" s="639"/>
    </row>
    <row r="56" spans="1:16" ht="15.75" x14ac:dyDescent="0.25">
      <c r="A56" s="643"/>
      <c r="B56" s="644" t="s">
        <v>1069</v>
      </c>
      <c r="C56" s="645"/>
      <c r="D56" s="1069" t="s">
        <v>1602</v>
      </c>
      <c r="E56" s="1070">
        <v>0</v>
      </c>
      <c r="F56" s="1086"/>
      <c r="G56" s="639"/>
      <c r="H56" s="1070">
        <v>0</v>
      </c>
      <c r="I56" s="1000">
        <f t="shared" si="1"/>
        <v>0</v>
      </c>
      <c r="J56" s="997"/>
      <c r="K56" s="639"/>
      <c r="L56" s="639"/>
    </row>
    <row r="57" spans="1:16" ht="15.75" hidden="1" x14ac:dyDescent="0.25">
      <c r="A57" s="643"/>
      <c r="B57" s="644" t="s">
        <v>1070</v>
      </c>
      <c r="C57" s="645"/>
      <c r="D57" s="1094"/>
      <c r="E57" s="1093"/>
      <c r="F57" s="646"/>
      <c r="G57" s="639"/>
      <c r="H57" s="639"/>
      <c r="I57" s="1000">
        <f t="shared" si="1"/>
        <v>0</v>
      </c>
      <c r="J57" s="997"/>
      <c r="K57" s="639"/>
      <c r="L57" s="639"/>
    </row>
    <row r="58" spans="1:16" ht="15.75" hidden="1" x14ac:dyDescent="0.25">
      <c r="A58" s="643"/>
      <c r="B58" s="644" t="s">
        <v>1072</v>
      </c>
      <c r="C58" s="645"/>
      <c r="D58" s="648"/>
      <c r="E58" s="639"/>
      <c r="F58" s="646"/>
      <c r="G58" s="639"/>
      <c r="H58" s="639"/>
      <c r="I58" s="1000">
        <f t="shared" si="1"/>
        <v>0</v>
      </c>
      <c r="J58" s="997"/>
      <c r="K58" s="639"/>
      <c r="L58" s="639"/>
    </row>
    <row r="59" spans="1:16" ht="15.75" hidden="1" x14ac:dyDescent="0.25">
      <c r="A59" s="643"/>
      <c r="B59" s="644" t="s">
        <v>1073</v>
      </c>
      <c r="C59" s="645"/>
      <c r="D59" s="647"/>
      <c r="E59" s="639"/>
      <c r="F59" s="646"/>
      <c r="G59" s="639"/>
      <c r="H59" s="639"/>
      <c r="I59" s="1000">
        <f t="shared" si="1"/>
        <v>0</v>
      </c>
      <c r="J59" s="997"/>
      <c r="K59" s="639"/>
      <c r="L59" s="639"/>
    </row>
    <row r="60" spans="1:16" ht="15.75" hidden="1" x14ac:dyDescent="0.25">
      <c r="A60" s="643"/>
      <c r="B60" s="644" t="s">
        <v>1074</v>
      </c>
      <c r="C60" s="645"/>
      <c r="D60" s="647"/>
      <c r="E60" s="639"/>
      <c r="F60" s="646"/>
      <c r="G60" s="639"/>
      <c r="H60" s="639"/>
      <c r="I60" s="1000">
        <f t="shared" si="1"/>
        <v>0</v>
      </c>
      <c r="J60" s="997"/>
      <c r="K60" s="639"/>
      <c r="L60" s="639"/>
    </row>
    <row r="61" spans="1:16" ht="15.75" hidden="1" customHeight="1" x14ac:dyDescent="0.25">
      <c r="A61" s="643"/>
      <c r="B61" s="644" t="s">
        <v>1075</v>
      </c>
      <c r="C61" s="645"/>
      <c r="D61" s="627"/>
      <c r="E61" s="639"/>
      <c r="F61" s="646"/>
      <c r="G61" s="639"/>
      <c r="H61" s="639"/>
      <c r="I61" s="1000">
        <f t="shared" si="1"/>
        <v>0</v>
      </c>
      <c r="J61" s="997"/>
      <c r="K61" s="639"/>
      <c r="L61" s="639"/>
    </row>
    <row r="62" spans="1:16" ht="15.75" hidden="1" x14ac:dyDescent="0.25">
      <c r="A62" s="643"/>
      <c r="B62" s="644" t="s">
        <v>1077</v>
      </c>
      <c r="C62" s="645"/>
      <c r="D62" s="627"/>
      <c r="E62" s="639"/>
      <c r="F62" s="646"/>
      <c r="G62" s="639"/>
      <c r="H62" s="639"/>
      <c r="I62" s="1000">
        <f t="shared" si="1"/>
        <v>0</v>
      </c>
      <c r="J62" s="997"/>
      <c r="K62" s="639"/>
      <c r="L62" s="639"/>
      <c r="M62" s="1624"/>
      <c r="N62" s="1631"/>
      <c r="O62" s="1631"/>
      <c r="P62" s="1631"/>
    </row>
    <row r="63" spans="1:16" ht="15.75" hidden="1" x14ac:dyDescent="0.25">
      <c r="A63" s="643"/>
      <c r="B63" s="644" t="s">
        <v>1078</v>
      </c>
      <c r="C63" s="645"/>
      <c r="D63" s="627"/>
      <c r="E63" s="639"/>
      <c r="F63" s="646"/>
      <c r="G63" s="639"/>
      <c r="H63" s="639"/>
      <c r="I63" s="1000">
        <f t="shared" si="1"/>
        <v>0</v>
      </c>
      <c r="J63" s="997"/>
      <c r="K63" s="639"/>
      <c r="L63" s="639"/>
    </row>
    <row r="64" spans="1:16" ht="15.75" hidden="1" x14ac:dyDescent="0.25">
      <c r="A64" s="643"/>
      <c r="B64" s="644" t="s">
        <v>1079</v>
      </c>
      <c r="C64" s="645"/>
      <c r="D64" s="627"/>
      <c r="E64" s="639"/>
      <c r="F64" s="646"/>
      <c r="G64" s="639"/>
      <c r="H64" s="639"/>
      <c r="I64" s="1000">
        <f t="shared" si="1"/>
        <v>0</v>
      </c>
      <c r="J64" s="997"/>
      <c r="K64" s="639"/>
      <c r="L64" s="639"/>
    </row>
    <row r="65" spans="1:12" ht="15.75" hidden="1" x14ac:dyDescent="0.25">
      <c r="A65" s="643"/>
      <c r="B65" s="644" t="s">
        <v>1080</v>
      </c>
      <c r="C65" s="645"/>
      <c r="D65" s="627"/>
      <c r="E65" s="639"/>
      <c r="F65" s="646"/>
      <c r="G65" s="639"/>
      <c r="H65" s="639"/>
      <c r="I65" s="1000">
        <f t="shared" si="1"/>
        <v>0</v>
      </c>
      <c r="J65" s="997"/>
      <c r="K65" s="639"/>
      <c r="L65" s="639"/>
    </row>
    <row r="66" spans="1:12" ht="15.75" hidden="1" x14ac:dyDescent="0.25">
      <c r="A66" s="643"/>
      <c r="B66" s="644" t="s">
        <v>1081</v>
      </c>
      <c r="C66" s="645"/>
      <c r="D66" s="627"/>
      <c r="E66" s="639"/>
      <c r="F66" s="646"/>
      <c r="G66" s="639"/>
      <c r="H66" s="639"/>
      <c r="I66" s="1000">
        <f t="shared" si="1"/>
        <v>0</v>
      </c>
      <c r="J66" s="997"/>
      <c r="K66" s="639"/>
      <c r="L66" s="639"/>
    </row>
    <row r="67" spans="1:12" ht="15.75" hidden="1" x14ac:dyDescent="0.25">
      <c r="A67" s="643"/>
      <c r="B67" s="644" t="s">
        <v>1447</v>
      </c>
      <c r="C67" s="645"/>
      <c r="D67" s="627"/>
      <c r="E67" s="639"/>
      <c r="F67" s="646"/>
      <c r="G67" s="639"/>
      <c r="H67" s="639"/>
      <c r="I67" s="1000">
        <f t="shared" si="1"/>
        <v>0</v>
      </c>
      <c r="J67" s="997"/>
      <c r="K67" s="639"/>
      <c r="L67" s="639"/>
    </row>
    <row r="68" spans="1:12" ht="15.75" hidden="1" x14ac:dyDescent="0.25">
      <c r="A68" s="643"/>
      <c r="B68" s="644" t="s">
        <v>1448</v>
      </c>
      <c r="C68" s="645"/>
      <c r="D68" s="627"/>
      <c r="E68" s="639"/>
      <c r="F68" s="646"/>
      <c r="G68" s="639"/>
      <c r="H68" s="639"/>
      <c r="I68" s="1000">
        <f t="shared" si="1"/>
        <v>0</v>
      </c>
      <c r="J68" s="997"/>
      <c r="K68" s="639"/>
      <c r="L68" s="639"/>
    </row>
    <row r="69" spans="1:12" ht="15.75" hidden="1" x14ac:dyDescent="0.25">
      <c r="A69" s="643"/>
      <c r="B69" s="644" t="s">
        <v>1449</v>
      </c>
      <c r="C69" s="645"/>
      <c r="D69" s="627"/>
      <c r="E69" s="639"/>
      <c r="F69" s="646"/>
      <c r="G69" s="639"/>
      <c r="H69" s="639"/>
      <c r="I69" s="1000">
        <f t="shared" si="1"/>
        <v>0</v>
      </c>
      <c r="J69" s="997"/>
      <c r="K69" s="639"/>
      <c r="L69" s="639"/>
    </row>
    <row r="70" spans="1:12" ht="15.75" hidden="1" x14ac:dyDescent="0.25">
      <c r="A70" s="643"/>
      <c r="B70" s="644" t="s">
        <v>1450</v>
      </c>
      <c r="C70" s="645"/>
      <c r="D70" s="627"/>
      <c r="E70" s="639"/>
      <c r="F70" s="646"/>
      <c r="G70" s="639"/>
      <c r="H70" s="639"/>
      <c r="I70" s="1000">
        <f t="shared" si="1"/>
        <v>0</v>
      </c>
      <c r="J70" s="997"/>
      <c r="K70" s="639"/>
      <c r="L70" s="639"/>
    </row>
    <row r="71" spans="1:12" ht="15.75" hidden="1" x14ac:dyDescent="0.25">
      <c r="A71" s="643"/>
      <c r="B71" s="644" t="s">
        <v>1451</v>
      </c>
      <c r="C71" s="645"/>
      <c r="D71" s="627"/>
      <c r="E71" s="639"/>
      <c r="F71" s="646"/>
      <c r="G71" s="639"/>
      <c r="H71" s="639"/>
      <c r="I71" s="1000">
        <f t="shared" si="1"/>
        <v>0</v>
      </c>
      <c r="J71" s="997"/>
      <c r="K71" s="639"/>
      <c r="L71" s="639"/>
    </row>
    <row r="72" spans="1:12" ht="16.5" x14ac:dyDescent="0.2">
      <c r="A72" s="649" t="s">
        <v>20</v>
      </c>
      <c r="B72" s="645"/>
      <c r="C72" s="645"/>
      <c r="D72" s="1067" t="s">
        <v>1082</v>
      </c>
      <c r="E72" s="1084">
        <f>SUM(E73:E77)</f>
        <v>10000</v>
      </c>
      <c r="F72" s="1084"/>
      <c r="G72" s="1084"/>
      <c r="H72" s="1084">
        <f>SUM(H73:H77)</f>
        <v>10000</v>
      </c>
      <c r="I72" s="650"/>
      <c r="J72" s="998"/>
      <c r="K72" s="650"/>
      <c r="L72" s="639"/>
    </row>
    <row r="73" spans="1:12" ht="15.75" x14ac:dyDescent="0.25">
      <c r="A73" s="643"/>
      <c r="B73" s="644" t="s">
        <v>1083</v>
      </c>
      <c r="C73" s="645"/>
      <c r="D73" s="1088" t="s">
        <v>1603</v>
      </c>
      <c r="E73" s="1095">
        <v>10000</v>
      </c>
      <c r="F73" s="1086">
        <v>2013</v>
      </c>
      <c r="G73" s="639"/>
      <c r="H73" s="1095">
        <v>10000</v>
      </c>
      <c r="I73" s="1000">
        <f t="shared" ref="I73:I88" si="2">E73-G73-H73</f>
        <v>0</v>
      </c>
      <c r="J73" s="997">
        <v>0</v>
      </c>
      <c r="K73" s="639">
        <v>0</v>
      </c>
      <c r="L73" s="639"/>
    </row>
    <row r="74" spans="1:12" ht="15.75" x14ac:dyDescent="0.25">
      <c r="A74" s="643"/>
      <c r="B74" s="644" t="s">
        <v>845</v>
      </c>
      <c r="C74" s="645"/>
      <c r="D74" s="1069" t="s">
        <v>1604</v>
      </c>
      <c r="E74" s="1070">
        <v>0</v>
      </c>
      <c r="F74" s="1086"/>
      <c r="G74" s="639"/>
      <c r="H74" s="1070">
        <v>0</v>
      </c>
      <c r="I74" s="1000">
        <f t="shared" si="2"/>
        <v>0</v>
      </c>
      <c r="J74" s="997">
        <v>0</v>
      </c>
      <c r="K74" s="639">
        <v>0</v>
      </c>
      <c r="L74" s="639"/>
    </row>
    <row r="75" spans="1:12" ht="15.75" x14ac:dyDescent="0.25">
      <c r="A75" s="643"/>
      <c r="B75" s="644" t="s">
        <v>1085</v>
      </c>
      <c r="C75" s="645"/>
      <c r="D75" s="1069" t="s">
        <v>1084</v>
      </c>
      <c r="E75" s="1070">
        <v>0</v>
      </c>
      <c r="F75" s="1086"/>
      <c r="G75" s="639"/>
      <c r="H75" s="1070">
        <v>0</v>
      </c>
      <c r="I75" s="1000">
        <f t="shared" si="2"/>
        <v>0</v>
      </c>
      <c r="J75" s="997">
        <v>0</v>
      </c>
      <c r="K75" s="639">
        <v>0</v>
      </c>
      <c r="L75" s="639"/>
    </row>
    <row r="76" spans="1:12" ht="15.75" x14ac:dyDescent="0.25">
      <c r="A76" s="643"/>
      <c r="B76" s="644" t="s">
        <v>1087</v>
      </c>
      <c r="C76" s="645"/>
      <c r="D76" s="1069" t="s">
        <v>1086</v>
      </c>
      <c r="E76" s="1070">
        <v>0</v>
      </c>
      <c r="F76" s="1086"/>
      <c r="G76" s="639"/>
      <c r="H76" s="1070">
        <v>0</v>
      </c>
      <c r="I76" s="1000">
        <f t="shared" si="2"/>
        <v>0</v>
      </c>
      <c r="J76" s="997">
        <v>0</v>
      </c>
      <c r="K76" s="639">
        <v>0</v>
      </c>
      <c r="L76" s="639"/>
    </row>
    <row r="77" spans="1:12" ht="15.75" x14ac:dyDescent="0.25">
      <c r="A77" s="643"/>
      <c r="B77" s="644" t="s">
        <v>1089</v>
      </c>
      <c r="C77" s="645"/>
      <c r="D77" s="1069" t="s">
        <v>1088</v>
      </c>
      <c r="E77" s="1070">
        <v>0</v>
      </c>
      <c r="F77" s="1086"/>
      <c r="G77" s="639"/>
      <c r="H77" s="1070">
        <v>0</v>
      </c>
      <c r="I77" s="1000">
        <f t="shared" si="2"/>
        <v>0</v>
      </c>
      <c r="J77" s="997">
        <v>0</v>
      </c>
      <c r="K77" s="639">
        <v>0</v>
      </c>
      <c r="L77" s="639"/>
    </row>
    <row r="78" spans="1:12" ht="15.75" hidden="1" x14ac:dyDescent="0.25">
      <c r="A78" s="643"/>
      <c r="B78" s="644" t="s">
        <v>1090</v>
      </c>
      <c r="C78" s="645"/>
      <c r="D78" s="1094"/>
      <c r="E78" s="1093">
        <v>0</v>
      </c>
      <c r="F78" s="646"/>
      <c r="G78" s="639"/>
      <c r="H78" s="639">
        <v>0</v>
      </c>
      <c r="I78" s="1000">
        <f t="shared" si="2"/>
        <v>0</v>
      </c>
      <c r="J78" s="997">
        <v>0</v>
      </c>
      <c r="K78" s="639">
        <v>0</v>
      </c>
      <c r="L78" s="639"/>
    </row>
    <row r="79" spans="1:12" ht="16.5" x14ac:dyDescent="0.2">
      <c r="A79" s="649" t="s">
        <v>150</v>
      </c>
      <c r="B79" s="645"/>
      <c r="C79" s="645"/>
      <c r="D79" s="1067" t="s">
        <v>1091</v>
      </c>
      <c r="E79" s="1096">
        <f>SUM(E80:E85)</f>
        <v>23500</v>
      </c>
      <c r="F79" s="1096"/>
      <c r="G79" s="1096"/>
      <c r="H79" s="1096">
        <f>SUM(H80:H85)</f>
        <v>23500</v>
      </c>
      <c r="I79" s="626"/>
      <c r="J79" s="996">
        <f>SUM(J80:J88)</f>
        <v>0</v>
      </c>
      <c r="K79" s="626">
        <f>SUM(K80:K88)</f>
        <v>0</v>
      </c>
      <c r="L79" s="626"/>
    </row>
    <row r="80" spans="1:12" ht="15.75" x14ac:dyDescent="0.25">
      <c r="A80" s="643"/>
      <c r="B80" s="644" t="s">
        <v>152</v>
      </c>
      <c r="C80" s="645"/>
      <c r="D80" s="1072" t="s">
        <v>1092</v>
      </c>
      <c r="E80" s="1070">
        <v>0</v>
      </c>
      <c r="F80" s="1086"/>
      <c r="G80" s="639">
        <v>0</v>
      </c>
      <c r="H80" s="1070">
        <v>0</v>
      </c>
      <c r="I80" s="1000">
        <f t="shared" si="2"/>
        <v>0</v>
      </c>
      <c r="J80" s="997">
        <v>0</v>
      </c>
      <c r="K80" s="639">
        <v>0</v>
      </c>
      <c r="L80" s="639"/>
    </row>
    <row r="81" spans="1:19" ht="15.75" x14ac:dyDescent="0.25">
      <c r="A81" s="643"/>
      <c r="B81" s="644" t="s">
        <v>154</v>
      </c>
      <c r="C81" s="645"/>
      <c r="D81" s="1088" t="s">
        <v>1029</v>
      </c>
      <c r="E81" s="1070">
        <v>0</v>
      </c>
      <c r="F81" s="1086"/>
      <c r="G81" s="639"/>
      <c r="H81" s="1070">
        <v>0</v>
      </c>
      <c r="I81" s="1000">
        <f t="shared" si="2"/>
        <v>0</v>
      </c>
      <c r="J81" s="997"/>
      <c r="K81" s="639"/>
      <c r="L81" s="639"/>
    </row>
    <row r="82" spans="1:19" ht="15.75" x14ac:dyDescent="0.25">
      <c r="A82" s="643"/>
      <c r="B82" s="644" t="s">
        <v>156</v>
      </c>
      <c r="C82" s="645"/>
      <c r="D82" s="1089" t="s">
        <v>1093</v>
      </c>
      <c r="E82" s="1090">
        <v>6500</v>
      </c>
      <c r="F82" s="1086">
        <v>2013</v>
      </c>
      <c r="G82" s="639"/>
      <c r="H82" s="1090">
        <v>6500</v>
      </c>
      <c r="I82" s="1000">
        <f t="shared" si="2"/>
        <v>0</v>
      </c>
      <c r="J82" s="997"/>
      <c r="K82" s="639"/>
      <c r="L82" s="639"/>
    </row>
    <row r="83" spans="1:19" ht="15.75" x14ac:dyDescent="0.25">
      <c r="A83" s="643"/>
      <c r="B83" s="644" t="s">
        <v>1094</v>
      </c>
      <c r="C83" s="645"/>
      <c r="D83" s="1072" t="s">
        <v>1605</v>
      </c>
      <c r="E83" s="1070">
        <v>1000</v>
      </c>
      <c r="F83" s="1086">
        <v>2013</v>
      </c>
      <c r="G83" s="639"/>
      <c r="H83" s="1070">
        <v>1000</v>
      </c>
      <c r="I83" s="1000">
        <f t="shared" si="2"/>
        <v>0</v>
      </c>
      <c r="J83" s="997"/>
      <c r="K83" s="639"/>
      <c r="L83" s="639"/>
    </row>
    <row r="84" spans="1:19" ht="15.75" customHeight="1" x14ac:dyDescent="0.25">
      <c r="A84" s="643"/>
      <c r="B84" s="644" t="s">
        <v>1095</v>
      </c>
      <c r="C84" s="645"/>
      <c r="D84" s="1072" t="s">
        <v>1606</v>
      </c>
      <c r="E84" s="1070">
        <v>8000</v>
      </c>
      <c r="F84" s="1086">
        <v>2013</v>
      </c>
      <c r="G84" s="639"/>
      <c r="H84" s="1070">
        <v>8000</v>
      </c>
      <c r="I84" s="1000">
        <f t="shared" si="2"/>
        <v>0</v>
      </c>
      <c r="J84" s="997"/>
      <c r="K84" s="639"/>
      <c r="L84" s="639"/>
    </row>
    <row r="85" spans="1:19" ht="15.75" x14ac:dyDescent="0.25">
      <c r="A85" s="643"/>
      <c r="B85" s="644" t="s">
        <v>1096</v>
      </c>
      <c r="C85" s="645"/>
      <c r="D85" s="1072" t="s">
        <v>1607</v>
      </c>
      <c r="E85" s="1070">
        <v>8000</v>
      </c>
      <c r="F85" s="1086">
        <v>2013</v>
      </c>
      <c r="G85" s="639"/>
      <c r="H85" s="1070">
        <v>8000</v>
      </c>
      <c r="I85" s="1000">
        <f t="shared" si="2"/>
        <v>0</v>
      </c>
      <c r="J85" s="997"/>
      <c r="K85" s="639"/>
      <c r="L85" s="639"/>
    </row>
    <row r="86" spans="1:19" ht="15.75" hidden="1" x14ac:dyDescent="0.25">
      <c r="A86" s="643"/>
      <c r="B86" s="644" t="s">
        <v>1414</v>
      </c>
      <c r="C86" s="645"/>
      <c r="D86" s="1097"/>
      <c r="E86" s="1098"/>
      <c r="F86" s="646"/>
      <c r="G86" s="639"/>
      <c r="H86" s="639"/>
      <c r="I86" s="1000">
        <f t="shared" si="2"/>
        <v>0</v>
      </c>
      <c r="J86" s="997"/>
      <c r="K86" s="639"/>
      <c r="L86" s="639"/>
      <c r="M86" s="1624"/>
      <c r="N86" s="1631"/>
      <c r="O86" s="1631"/>
      <c r="P86" s="1631"/>
      <c r="Q86" s="1631"/>
      <c r="R86" s="1631"/>
      <c r="S86" s="1631"/>
    </row>
    <row r="87" spans="1:19" ht="15.75" hidden="1" x14ac:dyDescent="0.25">
      <c r="A87" s="643"/>
      <c r="B87" s="644" t="s">
        <v>1454</v>
      </c>
      <c r="C87" s="645"/>
      <c r="D87" s="1072"/>
      <c r="E87" s="997"/>
      <c r="F87" s="646"/>
      <c r="G87" s="639"/>
      <c r="H87" s="639"/>
      <c r="I87" s="1000">
        <f t="shared" si="2"/>
        <v>0</v>
      </c>
      <c r="J87" s="997"/>
      <c r="K87" s="639"/>
      <c r="L87" s="639"/>
      <c r="M87" s="1624"/>
      <c r="N87" s="1631"/>
      <c r="O87" s="1631"/>
      <c r="P87" s="1631"/>
      <c r="Q87" s="1631"/>
      <c r="R87" s="1631"/>
      <c r="S87" s="1631"/>
    </row>
    <row r="88" spans="1:19" ht="15.75" hidden="1" x14ac:dyDescent="0.25">
      <c r="A88" s="643"/>
      <c r="B88" s="644" t="s">
        <v>1455</v>
      </c>
      <c r="C88" s="645"/>
      <c r="D88" s="1072"/>
      <c r="E88" s="997"/>
      <c r="F88" s="646"/>
      <c r="G88" s="639"/>
      <c r="H88" s="639"/>
      <c r="I88" s="1000">
        <f t="shared" si="2"/>
        <v>0</v>
      </c>
      <c r="J88" s="997"/>
      <c r="K88" s="639"/>
      <c r="L88" s="639"/>
      <c r="M88" s="1624"/>
      <c r="N88" s="1631"/>
      <c r="O88" s="1631"/>
      <c r="P88" s="1631"/>
      <c r="Q88" s="1631"/>
      <c r="R88" s="1631"/>
      <c r="S88" s="1631"/>
    </row>
    <row r="89" spans="1:19" s="614" customFormat="1" ht="19.5" customHeight="1" x14ac:dyDescent="0.2">
      <c r="A89" s="1626" t="s">
        <v>1097</v>
      </c>
      <c r="B89" s="1626"/>
      <c r="C89" s="1626"/>
      <c r="D89" s="1627"/>
      <c r="E89" s="626">
        <f>SUM(E90)</f>
        <v>24500</v>
      </c>
      <c r="F89" s="626">
        <f>SUM(F90)</f>
        <v>0</v>
      </c>
      <c r="G89" s="626">
        <f>SUM(G90)</f>
        <v>0</v>
      </c>
      <c r="H89" s="626">
        <f>SUM(H90)</f>
        <v>24500</v>
      </c>
      <c r="I89" s="626"/>
      <c r="J89" s="996">
        <f>SUM(J124+J90+J101+J103+J106+J109+J112+J114+J117+J119+J122)</f>
        <v>0</v>
      </c>
      <c r="K89" s="626">
        <f>SUM(K124+K90+K101+K103+K106+K109+K112+K114+K117+K119+K122)</f>
        <v>0</v>
      </c>
      <c r="L89" s="651"/>
    </row>
    <row r="90" spans="1:19" ht="16.5" x14ac:dyDescent="0.2">
      <c r="A90" s="652" t="s">
        <v>39</v>
      </c>
      <c r="B90" s="653"/>
      <c r="C90" s="654"/>
      <c r="D90" s="1067" t="s">
        <v>797</v>
      </c>
      <c r="E90" s="1096">
        <f>SUM(E91:E100)</f>
        <v>24500</v>
      </c>
      <c r="F90" s="1096"/>
      <c r="G90" s="1096"/>
      <c r="H90" s="1096">
        <f>SUM(H91:H100)</f>
        <v>24500</v>
      </c>
      <c r="I90" s="624"/>
      <c r="J90" s="996">
        <f>SUM(J91:J100)</f>
        <v>0</v>
      </c>
      <c r="K90" s="626">
        <f>SUM(K91:K100)</f>
        <v>0</v>
      </c>
      <c r="L90" s="651"/>
    </row>
    <row r="91" spans="1:19" ht="15.75" x14ac:dyDescent="0.25">
      <c r="A91" s="643"/>
      <c r="B91" s="644" t="s">
        <v>1098</v>
      </c>
      <c r="C91" s="645"/>
      <c r="D91" s="1072" t="s">
        <v>1099</v>
      </c>
      <c r="E91" s="1070">
        <v>16000</v>
      </c>
      <c r="F91" s="1086">
        <v>2013</v>
      </c>
      <c r="G91" s="639"/>
      <c r="H91" s="1070">
        <v>16000</v>
      </c>
      <c r="I91" s="1000">
        <f t="shared" ref="I91:I100" si="3">E91-G91-H91</f>
        <v>0</v>
      </c>
      <c r="J91" s="997">
        <v>0</v>
      </c>
      <c r="K91" s="639">
        <v>0</v>
      </c>
      <c r="L91" s="639"/>
    </row>
    <row r="92" spans="1:19" ht="15.75" x14ac:dyDescent="0.25">
      <c r="A92" s="643"/>
      <c r="B92" s="644" t="s">
        <v>1100</v>
      </c>
      <c r="C92" s="645"/>
      <c r="D92" s="1072" t="s">
        <v>1101</v>
      </c>
      <c r="E92" s="1070">
        <v>0</v>
      </c>
      <c r="F92" s="1086"/>
      <c r="G92" s="639"/>
      <c r="H92" s="1070">
        <v>0</v>
      </c>
      <c r="I92" s="1000">
        <f t="shared" si="3"/>
        <v>0</v>
      </c>
      <c r="J92" s="997">
        <v>0</v>
      </c>
      <c r="K92" s="639">
        <v>0</v>
      </c>
      <c r="L92" s="639"/>
    </row>
    <row r="93" spans="1:19" ht="15.75" x14ac:dyDescent="0.25">
      <c r="A93" s="643"/>
      <c r="B93" s="644" t="s">
        <v>1102</v>
      </c>
      <c r="C93" s="645"/>
      <c r="D93" s="1072" t="s">
        <v>1608</v>
      </c>
      <c r="E93" s="1070">
        <v>0</v>
      </c>
      <c r="F93" s="1086"/>
      <c r="G93" s="639"/>
      <c r="H93" s="1070">
        <v>0</v>
      </c>
      <c r="I93" s="1000">
        <f t="shared" si="3"/>
        <v>0</v>
      </c>
      <c r="J93" s="997">
        <v>0</v>
      </c>
      <c r="K93" s="639">
        <v>0</v>
      </c>
      <c r="L93" s="639"/>
    </row>
    <row r="94" spans="1:19" ht="15.75" x14ac:dyDescent="0.25">
      <c r="A94" s="643"/>
      <c r="B94" s="644" t="s">
        <v>1104</v>
      </c>
      <c r="C94" s="645"/>
      <c r="D94" s="1088" t="s">
        <v>1103</v>
      </c>
      <c r="E94" s="1070">
        <v>0</v>
      </c>
      <c r="F94" s="1086"/>
      <c r="G94" s="639"/>
      <c r="H94" s="1070">
        <v>0</v>
      </c>
      <c r="I94" s="1000">
        <f t="shared" si="3"/>
        <v>0</v>
      </c>
      <c r="J94" s="997">
        <v>0</v>
      </c>
      <c r="K94" s="639">
        <v>0</v>
      </c>
      <c r="L94" s="639"/>
    </row>
    <row r="95" spans="1:19" ht="15.75" x14ac:dyDescent="0.25">
      <c r="A95" s="643"/>
      <c r="B95" s="644" t="s">
        <v>1106</v>
      </c>
      <c r="C95" s="645"/>
      <c r="D95" s="1088" t="s">
        <v>1105</v>
      </c>
      <c r="E95" s="1070">
        <v>0</v>
      </c>
      <c r="F95" s="1086"/>
      <c r="G95" s="639"/>
      <c r="H95" s="1070">
        <v>0</v>
      </c>
      <c r="I95" s="1000">
        <f t="shared" si="3"/>
        <v>0</v>
      </c>
      <c r="J95" s="997">
        <v>0</v>
      </c>
      <c r="K95" s="639">
        <v>0</v>
      </c>
      <c r="L95" s="639"/>
    </row>
    <row r="96" spans="1:19" ht="15.75" x14ac:dyDescent="0.25">
      <c r="A96" s="643"/>
      <c r="B96" s="644" t="s">
        <v>1107</v>
      </c>
      <c r="C96" s="645"/>
      <c r="D96" s="1072" t="s">
        <v>1108</v>
      </c>
      <c r="E96" s="1070">
        <v>1000</v>
      </c>
      <c r="F96" s="1086">
        <v>2013</v>
      </c>
      <c r="G96" s="639"/>
      <c r="H96" s="1070">
        <v>1000</v>
      </c>
      <c r="I96" s="1000">
        <f t="shared" si="3"/>
        <v>0</v>
      </c>
      <c r="J96" s="997">
        <v>0</v>
      </c>
      <c r="K96" s="639">
        <v>0</v>
      </c>
      <c r="L96" s="639"/>
    </row>
    <row r="97" spans="1:12" ht="15.75" x14ac:dyDescent="0.25">
      <c r="A97" s="643"/>
      <c r="B97" s="644" t="s">
        <v>1109</v>
      </c>
      <c r="C97" s="645"/>
      <c r="D97" s="1072" t="s">
        <v>1110</v>
      </c>
      <c r="E97" s="1070">
        <v>0</v>
      </c>
      <c r="F97" s="1086"/>
      <c r="G97" s="639"/>
      <c r="H97" s="1070">
        <v>0</v>
      </c>
      <c r="I97" s="1000">
        <f t="shared" si="3"/>
        <v>0</v>
      </c>
      <c r="J97" s="997">
        <v>0</v>
      </c>
      <c r="K97" s="639">
        <v>0</v>
      </c>
      <c r="L97" s="639"/>
    </row>
    <row r="98" spans="1:12" ht="15.75" x14ac:dyDescent="0.25">
      <c r="A98" s="643"/>
      <c r="B98" s="644" t="s">
        <v>1111</v>
      </c>
      <c r="C98" s="645"/>
      <c r="D98" s="1072" t="s">
        <v>1609</v>
      </c>
      <c r="E98" s="1070">
        <v>3500</v>
      </c>
      <c r="F98" s="1086">
        <v>2013</v>
      </c>
      <c r="G98" s="639"/>
      <c r="H98" s="1070">
        <v>3500</v>
      </c>
      <c r="I98" s="1000">
        <f t="shared" si="3"/>
        <v>0</v>
      </c>
      <c r="J98" s="997"/>
      <c r="K98" s="639"/>
      <c r="L98" s="639"/>
    </row>
    <row r="99" spans="1:12" ht="15.75" x14ac:dyDescent="0.25">
      <c r="A99" s="643"/>
      <c r="B99" s="644" t="s">
        <v>1441</v>
      </c>
      <c r="C99" s="645"/>
      <c r="D99" s="1092" t="s">
        <v>1442</v>
      </c>
      <c r="E99" s="1093">
        <v>4000</v>
      </c>
      <c r="F99" s="646"/>
      <c r="G99" s="639"/>
      <c r="H99" s="1093">
        <v>4000</v>
      </c>
      <c r="I99" s="1000">
        <f t="shared" si="3"/>
        <v>0</v>
      </c>
      <c r="J99" s="997"/>
      <c r="K99" s="639"/>
      <c r="L99" s="639"/>
    </row>
    <row r="100" spans="1:12" ht="15.75" x14ac:dyDescent="0.25">
      <c r="A100" s="643"/>
      <c r="B100" s="644" t="s">
        <v>1443</v>
      </c>
      <c r="C100" s="645"/>
      <c r="D100" s="647" t="s">
        <v>1444</v>
      </c>
      <c r="E100" s="639">
        <v>0</v>
      </c>
      <c r="F100" s="646"/>
      <c r="G100" s="639"/>
      <c r="H100" s="639">
        <v>0</v>
      </c>
      <c r="I100" s="1000">
        <f t="shared" si="3"/>
        <v>0</v>
      </c>
      <c r="J100" s="997"/>
      <c r="K100" s="639"/>
      <c r="L100" s="639"/>
    </row>
    <row r="101" spans="1:12" ht="36.75" hidden="1" customHeight="1" x14ac:dyDescent="0.2">
      <c r="A101" s="652" t="s">
        <v>49</v>
      </c>
      <c r="B101" s="653"/>
      <c r="C101" s="654"/>
      <c r="D101" s="655" t="s">
        <v>859</v>
      </c>
      <c r="E101" s="624">
        <v>0</v>
      </c>
      <c r="F101" s="624"/>
      <c r="G101" s="624"/>
      <c r="H101" s="624">
        <v>0</v>
      </c>
      <c r="I101" s="624"/>
      <c r="J101" s="996">
        <f>SUM(J102)</f>
        <v>0</v>
      </c>
      <c r="K101" s="626">
        <f>SUM(K102)</f>
        <v>0</v>
      </c>
      <c r="L101" s="651"/>
    </row>
    <row r="102" spans="1:12" ht="15.75" hidden="1" x14ac:dyDescent="0.25">
      <c r="A102" s="643"/>
      <c r="B102" s="644" t="s">
        <v>50</v>
      </c>
      <c r="C102" s="645"/>
      <c r="D102" s="647"/>
      <c r="E102" s="639"/>
      <c r="F102" s="646"/>
      <c r="G102" s="639"/>
      <c r="H102" s="639"/>
      <c r="I102" s="1000"/>
      <c r="J102" s="997"/>
      <c r="K102" s="639"/>
      <c r="L102" s="639"/>
    </row>
    <row r="103" spans="1:12" ht="36.75" hidden="1" customHeight="1" x14ac:dyDescent="0.2">
      <c r="A103" s="652" t="s">
        <v>179</v>
      </c>
      <c r="B103" s="653"/>
      <c r="C103" s="654"/>
      <c r="D103" s="655" t="s">
        <v>853</v>
      </c>
      <c r="E103" s="624">
        <v>0</v>
      </c>
      <c r="F103" s="624"/>
      <c r="G103" s="624"/>
      <c r="H103" s="624">
        <v>0</v>
      </c>
      <c r="I103" s="624"/>
      <c r="J103" s="996">
        <f>SUM(J104:J105)</f>
        <v>0</v>
      </c>
      <c r="K103" s="626">
        <f>SUM(K104:K105)</f>
        <v>0</v>
      </c>
      <c r="L103" s="651"/>
    </row>
    <row r="104" spans="1:12" ht="15.75" hidden="1" x14ac:dyDescent="0.25">
      <c r="A104" s="643"/>
      <c r="B104" s="644" t="s">
        <v>291</v>
      </c>
      <c r="C104" s="645"/>
      <c r="D104" s="647"/>
      <c r="E104" s="639"/>
      <c r="F104" s="646"/>
      <c r="G104" s="639"/>
      <c r="H104" s="639"/>
      <c r="I104" s="1000"/>
      <c r="J104" s="997"/>
      <c r="K104" s="639"/>
      <c r="L104" s="639"/>
    </row>
    <row r="105" spans="1:12" ht="15.75" hidden="1" x14ac:dyDescent="0.25">
      <c r="A105" s="643"/>
      <c r="B105" s="644" t="s">
        <v>1437</v>
      </c>
      <c r="C105" s="645"/>
      <c r="D105" s="647"/>
      <c r="E105" s="639"/>
      <c r="F105" s="646"/>
      <c r="G105" s="639"/>
      <c r="H105" s="639"/>
      <c r="I105" s="1000"/>
      <c r="J105" s="997"/>
      <c r="K105" s="639"/>
      <c r="L105" s="639"/>
    </row>
    <row r="106" spans="1:12" ht="36.75" hidden="1" customHeight="1" x14ac:dyDescent="0.2">
      <c r="A106" s="652" t="s">
        <v>75</v>
      </c>
      <c r="B106" s="653"/>
      <c r="C106" s="654"/>
      <c r="D106" s="655" t="s">
        <v>861</v>
      </c>
      <c r="E106" s="624">
        <v>0</v>
      </c>
      <c r="F106" s="624"/>
      <c r="G106" s="624"/>
      <c r="H106" s="624">
        <v>0</v>
      </c>
      <c r="I106" s="624"/>
      <c r="J106" s="996">
        <f>SUM(J108+J107)</f>
        <v>0</v>
      </c>
      <c r="K106" s="626">
        <f>SUM(K108+K107)</f>
        <v>0</v>
      </c>
      <c r="L106" s="651"/>
    </row>
    <row r="107" spans="1:12" ht="15.75" hidden="1" x14ac:dyDescent="0.25">
      <c r="A107" s="643"/>
      <c r="B107" s="644" t="s">
        <v>76</v>
      </c>
      <c r="C107" s="645"/>
      <c r="D107" s="647"/>
      <c r="E107" s="639"/>
      <c r="F107" s="646"/>
      <c r="G107" s="639"/>
      <c r="H107" s="639"/>
      <c r="I107" s="1000"/>
      <c r="J107" s="997"/>
      <c r="K107" s="639"/>
      <c r="L107" s="639"/>
    </row>
    <row r="108" spans="1:12" ht="15.75" hidden="1" x14ac:dyDescent="0.25">
      <c r="A108" s="643"/>
      <c r="B108" s="644" t="s">
        <v>78</v>
      </c>
      <c r="C108" s="645"/>
      <c r="D108" s="647"/>
      <c r="E108" s="639"/>
      <c r="F108" s="646"/>
      <c r="G108" s="639"/>
      <c r="H108" s="639"/>
      <c r="I108" s="1000"/>
      <c r="J108" s="997"/>
      <c r="K108" s="639"/>
      <c r="L108" s="639"/>
    </row>
    <row r="109" spans="1:12" ht="36.75" hidden="1" customHeight="1" x14ac:dyDescent="0.2">
      <c r="A109" s="652" t="s">
        <v>207</v>
      </c>
      <c r="B109" s="653"/>
      <c r="C109" s="654"/>
      <c r="D109" s="655" t="s">
        <v>863</v>
      </c>
      <c r="E109" s="624">
        <v>0</v>
      </c>
      <c r="F109" s="624"/>
      <c r="G109" s="624"/>
      <c r="H109" s="624">
        <v>0</v>
      </c>
      <c r="I109" s="624"/>
      <c r="J109" s="996">
        <f>SUM(J111+J110)</f>
        <v>0</v>
      </c>
      <c r="K109" s="626">
        <f>SUM(K111+K110)</f>
        <v>0</v>
      </c>
      <c r="L109" s="651"/>
    </row>
    <row r="110" spans="1:12" ht="15.75" hidden="1" x14ac:dyDescent="0.25">
      <c r="A110" s="643"/>
      <c r="B110" s="644" t="s">
        <v>1112</v>
      </c>
      <c r="C110" s="645"/>
      <c r="D110" s="647"/>
      <c r="E110" s="639"/>
      <c r="F110" s="646"/>
      <c r="G110" s="639"/>
      <c r="H110" s="639"/>
      <c r="I110" s="1000"/>
      <c r="J110" s="997"/>
      <c r="K110" s="639"/>
      <c r="L110" s="639"/>
    </row>
    <row r="111" spans="1:12" ht="15.75" hidden="1" x14ac:dyDescent="0.25">
      <c r="A111" s="643"/>
      <c r="B111" s="644" t="s">
        <v>1113</v>
      </c>
      <c r="C111" s="645"/>
      <c r="D111" s="647"/>
      <c r="E111" s="639"/>
      <c r="F111" s="646"/>
      <c r="G111" s="639"/>
      <c r="H111" s="639"/>
      <c r="I111" s="1000"/>
      <c r="J111" s="997"/>
      <c r="K111" s="639"/>
      <c r="L111" s="639"/>
    </row>
    <row r="112" spans="1:12" ht="36.75" hidden="1" customHeight="1" x14ac:dyDescent="0.2">
      <c r="A112" s="652" t="s">
        <v>80</v>
      </c>
      <c r="B112" s="653"/>
      <c r="C112" s="654"/>
      <c r="D112" s="655" t="s">
        <v>867</v>
      </c>
      <c r="E112" s="624">
        <v>0</v>
      </c>
      <c r="F112" s="624"/>
      <c r="G112" s="624"/>
      <c r="H112" s="624">
        <v>0</v>
      </c>
      <c r="I112" s="624"/>
      <c r="J112" s="996">
        <f>SUM(J113)</f>
        <v>0</v>
      </c>
      <c r="K112" s="626">
        <f>SUM(K113)</f>
        <v>0</v>
      </c>
      <c r="L112" s="651"/>
    </row>
    <row r="113" spans="1:17" ht="15.75" hidden="1" x14ac:dyDescent="0.25">
      <c r="A113" s="643"/>
      <c r="B113" s="644" t="s">
        <v>1114</v>
      </c>
      <c r="C113" s="645"/>
      <c r="D113" s="647"/>
      <c r="E113" s="639"/>
      <c r="F113" s="646"/>
      <c r="G113" s="639"/>
      <c r="H113" s="639"/>
      <c r="I113" s="1000"/>
      <c r="J113" s="997"/>
      <c r="K113" s="639"/>
      <c r="L113" s="639"/>
    </row>
    <row r="114" spans="1:17" ht="36.75" hidden="1" customHeight="1" x14ac:dyDescent="0.2">
      <c r="A114" s="652" t="s">
        <v>81</v>
      </c>
      <c r="B114" s="653"/>
      <c r="C114" s="654"/>
      <c r="D114" s="655" t="s">
        <v>873</v>
      </c>
      <c r="E114" s="624">
        <v>0</v>
      </c>
      <c r="F114" s="624"/>
      <c r="G114" s="624"/>
      <c r="H114" s="624">
        <v>0</v>
      </c>
      <c r="I114" s="624"/>
      <c r="J114" s="996">
        <f>SUM(J115+J116)</f>
        <v>0</v>
      </c>
      <c r="K114" s="626">
        <f>SUM(K115+K116)</f>
        <v>0</v>
      </c>
      <c r="L114" s="651"/>
    </row>
    <row r="115" spans="1:17" ht="15.75" hidden="1" x14ac:dyDescent="0.25">
      <c r="A115" s="643"/>
      <c r="B115" s="644" t="s">
        <v>1115</v>
      </c>
      <c r="C115" s="645"/>
      <c r="D115" s="647"/>
      <c r="E115" s="639"/>
      <c r="F115" s="646"/>
      <c r="G115" s="639"/>
      <c r="H115" s="639"/>
      <c r="I115" s="1000"/>
      <c r="J115" s="997">
        <v>0</v>
      </c>
      <c r="K115" s="639">
        <v>0</v>
      </c>
      <c r="L115" s="639"/>
    </row>
    <row r="116" spans="1:17" ht="15.75" hidden="1" x14ac:dyDescent="0.25">
      <c r="A116" s="643"/>
      <c r="B116" s="644" t="s">
        <v>1116</v>
      </c>
      <c r="C116" s="645"/>
      <c r="D116" s="647"/>
      <c r="E116" s="639"/>
      <c r="F116" s="646"/>
      <c r="G116" s="639"/>
      <c r="H116" s="639"/>
      <c r="I116" s="1000"/>
      <c r="J116" s="997"/>
      <c r="K116" s="639"/>
      <c r="L116" s="639"/>
      <c r="M116" s="1628"/>
      <c r="N116" s="1629"/>
      <c r="O116" s="1629"/>
      <c r="P116" s="1629"/>
      <c r="Q116" s="1629"/>
    </row>
    <row r="117" spans="1:17" ht="36.75" hidden="1" customHeight="1" x14ac:dyDescent="0.2">
      <c r="A117" s="652" t="s">
        <v>86</v>
      </c>
      <c r="B117" s="653"/>
      <c r="C117" s="654"/>
      <c r="D117" s="655" t="s">
        <v>874</v>
      </c>
      <c r="E117" s="624">
        <v>0</v>
      </c>
      <c r="F117" s="624"/>
      <c r="G117" s="624"/>
      <c r="H117" s="624">
        <v>0</v>
      </c>
      <c r="I117" s="624"/>
      <c r="J117" s="996">
        <f>SUM(J118)</f>
        <v>0</v>
      </c>
      <c r="K117" s="626">
        <f>SUM(K118)</f>
        <v>0</v>
      </c>
      <c r="L117" s="651"/>
    </row>
    <row r="118" spans="1:17" ht="15.75" hidden="1" x14ac:dyDescent="0.25">
      <c r="A118" s="643"/>
      <c r="B118" s="644" t="s">
        <v>1117</v>
      </c>
      <c r="C118" s="645"/>
      <c r="D118" s="647"/>
      <c r="E118" s="639"/>
      <c r="F118" s="646"/>
      <c r="G118" s="639"/>
      <c r="H118" s="639"/>
      <c r="I118" s="1000"/>
      <c r="J118" s="997"/>
      <c r="K118" s="639"/>
      <c r="L118" s="639"/>
    </row>
    <row r="119" spans="1:17" ht="36.75" hidden="1" customHeight="1" x14ac:dyDescent="0.2">
      <c r="A119" s="652" t="s">
        <v>99</v>
      </c>
      <c r="B119" s="653"/>
      <c r="C119" s="654"/>
      <c r="D119" s="655" t="s">
        <v>881</v>
      </c>
      <c r="E119" s="624">
        <v>0</v>
      </c>
      <c r="F119" s="624"/>
      <c r="G119" s="624"/>
      <c r="H119" s="624">
        <v>0</v>
      </c>
      <c r="I119" s="624"/>
      <c r="J119" s="996">
        <f>SUM(J120:J121)</f>
        <v>0</v>
      </c>
      <c r="K119" s="626">
        <f>SUM(K120:K121)</f>
        <v>0</v>
      </c>
      <c r="L119" s="651"/>
    </row>
    <row r="120" spans="1:17" ht="15.75" hidden="1" x14ac:dyDescent="0.25">
      <c r="A120" s="643"/>
      <c r="B120" s="644" t="s">
        <v>1118</v>
      </c>
      <c r="C120" s="645"/>
      <c r="D120" s="647"/>
      <c r="E120" s="639"/>
      <c r="F120" s="646"/>
      <c r="G120" s="639"/>
      <c r="H120" s="639"/>
      <c r="I120" s="1000"/>
      <c r="J120" s="997"/>
      <c r="K120" s="639"/>
      <c r="L120" s="639"/>
    </row>
    <row r="121" spans="1:17" ht="15.75" hidden="1" x14ac:dyDescent="0.25">
      <c r="A121" s="643"/>
      <c r="B121" s="644" t="s">
        <v>1440</v>
      </c>
      <c r="C121" s="645"/>
      <c r="D121" s="647"/>
      <c r="E121" s="639"/>
      <c r="F121" s="646"/>
      <c r="G121" s="639"/>
      <c r="H121" s="639"/>
      <c r="I121" s="1000"/>
      <c r="J121" s="997"/>
      <c r="K121" s="639"/>
      <c r="L121" s="639" t="e">
        <f>K121/J121*100</f>
        <v>#DIV/0!</v>
      </c>
    </row>
    <row r="122" spans="1:17" ht="36.75" hidden="1" customHeight="1" x14ac:dyDescent="0.2">
      <c r="A122" s="652" t="s">
        <v>100</v>
      </c>
      <c r="B122" s="653"/>
      <c r="C122" s="654"/>
      <c r="D122" s="655" t="s">
        <v>1438</v>
      </c>
      <c r="E122" s="624">
        <v>0</v>
      </c>
      <c r="F122" s="624"/>
      <c r="G122" s="624"/>
      <c r="H122" s="624">
        <v>0</v>
      </c>
      <c r="I122" s="624"/>
      <c r="J122" s="996">
        <f>SUM(J123)</f>
        <v>0</v>
      </c>
      <c r="K122" s="626">
        <f>SUM(K123)</f>
        <v>0</v>
      </c>
      <c r="L122" s="651"/>
    </row>
    <row r="123" spans="1:17" ht="15.75" hidden="1" x14ac:dyDescent="0.25">
      <c r="A123" s="643"/>
      <c r="B123" s="644" t="s">
        <v>1439</v>
      </c>
      <c r="C123" s="645"/>
      <c r="D123" s="647"/>
      <c r="E123" s="639"/>
      <c r="F123" s="646"/>
      <c r="G123" s="639"/>
      <c r="H123" s="639"/>
      <c r="I123" s="1000"/>
      <c r="J123" s="997"/>
      <c r="K123" s="639">
        <v>0</v>
      </c>
      <c r="L123" s="639"/>
    </row>
    <row r="124" spans="1:17" ht="16.5" hidden="1" x14ac:dyDescent="0.2">
      <c r="A124" s="652" t="s">
        <v>212</v>
      </c>
      <c r="B124" s="653"/>
      <c r="C124" s="654"/>
      <c r="D124" s="624" t="s">
        <v>957</v>
      </c>
      <c r="E124" s="626">
        <f>E125+E132+E135+E137+E142+E144</f>
        <v>0</v>
      </c>
      <c r="F124" s="626"/>
      <c r="G124" s="626">
        <f>G125+G131+G135+G137+G142+G144</f>
        <v>0</v>
      </c>
      <c r="H124" s="626">
        <f>H125+H131+H135+H137+H142+H144</f>
        <v>0</v>
      </c>
      <c r="I124" s="626"/>
      <c r="J124" s="626">
        <f>J125+J132+J135+J137+J142+J144</f>
        <v>0</v>
      </c>
      <c r="K124" s="626">
        <f>K125+K132+K135+K137+K142+K144</f>
        <v>0</v>
      </c>
      <c r="L124" s="639"/>
    </row>
    <row r="125" spans="1:17" s="927" customFormat="1" ht="17.25" hidden="1" x14ac:dyDescent="0.25">
      <c r="A125" s="1006"/>
      <c r="B125" s="1007"/>
      <c r="C125" s="1008"/>
      <c r="D125" s="1001"/>
      <c r="E125" s="1009"/>
      <c r="F125" s="1012"/>
      <c r="G125" s="1009"/>
      <c r="H125" s="1009"/>
      <c r="I125" s="1013"/>
      <c r="J125" s="1009"/>
      <c r="K125" s="1009"/>
      <c r="L125" s="639"/>
    </row>
    <row r="126" spans="1:17" ht="16.5" hidden="1" x14ac:dyDescent="0.25">
      <c r="A126" s="1003"/>
      <c r="B126" s="1065"/>
      <c r="C126" s="1004"/>
      <c r="D126" s="1002"/>
      <c r="E126" s="646"/>
      <c r="F126" s="1012"/>
      <c r="G126" s="646"/>
      <c r="H126" s="646"/>
      <c r="I126" s="1013"/>
      <c r="J126" s="646"/>
      <c r="K126" s="646"/>
      <c r="L126" s="639"/>
    </row>
    <row r="127" spans="1:17" ht="16.5" hidden="1" x14ac:dyDescent="0.25">
      <c r="A127" s="1003"/>
      <c r="B127" s="1065"/>
      <c r="C127" s="1004"/>
      <c r="D127" s="1002"/>
      <c r="E127" s="646"/>
      <c r="F127" s="1012"/>
      <c r="G127" s="646"/>
      <c r="H127" s="646"/>
      <c r="I127" s="1013"/>
      <c r="J127" s="646"/>
      <c r="K127" s="646"/>
      <c r="L127" s="639"/>
    </row>
    <row r="128" spans="1:17" ht="16.5" hidden="1" x14ac:dyDescent="0.25">
      <c r="A128" s="1003"/>
      <c r="B128" s="1065"/>
      <c r="C128" s="1004"/>
      <c r="D128" s="1002"/>
      <c r="E128" s="646"/>
      <c r="F128" s="1012"/>
      <c r="G128" s="646"/>
      <c r="H128" s="646"/>
      <c r="I128" s="1013"/>
      <c r="J128" s="646"/>
      <c r="K128" s="646"/>
      <c r="L128" s="639"/>
    </row>
    <row r="129" spans="1:12" ht="16.5" hidden="1" x14ac:dyDescent="0.25">
      <c r="A129" s="1003"/>
      <c r="B129" s="1065"/>
      <c r="C129" s="1004"/>
      <c r="D129" s="1002"/>
      <c r="E129" s="646"/>
      <c r="F129" s="1012"/>
      <c r="G129" s="646"/>
      <c r="H129" s="646"/>
      <c r="I129" s="1013"/>
      <c r="J129" s="646"/>
      <c r="K129" s="646"/>
      <c r="L129" s="639"/>
    </row>
    <row r="130" spans="1:12" ht="16.5" hidden="1" x14ac:dyDescent="0.25">
      <c r="A130" s="1003"/>
      <c r="B130" s="1065"/>
      <c r="C130" s="1004"/>
      <c r="D130" s="1002"/>
      <c r="E130" s="646"/>
      <c r="F130" s="1012"/>
      <c r="G130" s="646"/>
      <c r="H130" s="646"/>
      <c r="I130" s="1013"/>
      <c r="J130" s="646"/>
      <c r="K130" s="646"/>
      <c r="L130" s="639"/>
    </row>
    <row r="131" spans="1:12" ht="16.5" hidden="1" x14ac:dyDescent="0.25">
      <c r="A131" s="1003"/>
      <c r="B131" s="1065"/>
      <c r="C131" s="1004"/>
      <c r="D131" s="1002"/>
      <c r="E131" s="646"/>
      <c r="F131" s="1012"/>
      <c r="G131" s="646"/>
      <c r="H131" s="646"/>
      <c r="I131" s="1013"/>
      <c r="J131" s="646"/>
      <c r="K131" s="646"/>
      <c r="L131" s="639"/>
    </row>
    <row r="132" spans="1:12" s="927" customFormat="1" ht="17.25" hidden="1" x14ac:dyDescent="0.25">
      <c r="A132" s="1006"/>
      <c r="B132" s="1007"/>
      <c r="C132" s="1008"/>
      <c r="D132" s="1001"/>
      <c r="E132" s="1009"/>
      <c r="F132" s="1012"/>
      <c r="G132" s="1009"/>
      <c r="H132" s="1009"/>
      <c r="I132" s="1013"/>
      <c r="J132" s="1009"/>
      <c r="K132" s="1009"/>
      <c r="L132" s="639"/>
    </row>
    <row r="133" spans="1:12" ht="16.5" hidden="1" x14ac:dyDescent="0.25">
      <c r="A133" s="1003"/>
      <c r="B133" s="1065"/>
      <c r="C133" s="1004"/>
      <c r="D133" s="1002"/>
      <c r="E133" s="646"/>
      <c r="F133" s="1012"/>
      <c r="G133" s="646"/>
      <c r="H133" s="646"/>
      <c r="I133" s="1013"/>
      <c r="J133" s="646"/>
      <c r="K133" s="646"/>
      <c r="L133" s="639"/>
    </row>
    <row r="134" spans="1:12" ht="16.5" hidden="1" x14ac:dyDescent="0.25">
      <c r="A134" s="1003"/>
      <c r="B134" s="1065"/>
      <c r="C134" s="1004"/>
      <c r="D134" s="1002"/>
      <c r="E134" s="646"/>
      <c r="F134" s="1012"/>
      <c r="G134" s="646"/>
      <c r="H134" s="646"/>
      <c r="I134" s="1013"/>
      <c r="J134" s="646"/>
      <c r="K134" s="646"/>
      <c r="L134" s="639"/>
    </row>
    <row r="135" spans="1:12" s="927" customFormat="1" ht="17.25" hidden="1" x14ac:dyDescent="0.25">
      <c r="A135" s="1006"/>
      <c r="B135" s="1007"/>
      <c r="C135" s="1008"/>
      <c r="D135" s="1001"/>
      <c r="E135" s="1009"/>
      <c r="F135" s="1012"/>
      <c r="G135" s="1009"/>
      <c r="H135" s="1009"/>
      <c r="I135" s="1013"/>
      <c r="J135" s="1009"/>
      <c r="K135" s="1009"/>
      <c r="L135" s="639"/>
    </row>
    <row r="136" spans="1:12" ht="16.5" hidden="1" x14ac:dyDescent="0.25">
      <c r="A136" s="1003"/>
      <c r="B136" s="1065"/>
      <c r="C136" s="1004"/>
      <c r="D136" s="1002"/>
      <c r="E136" s="646"/>
      <c r="F136" s="1012"/>
      <c r="G136" s="646"/>
      <c r="H136" s="646"/>
      <c r="I136" s="1013"/>
      <c r="J136" s="646"/>
      <c r="K136" s="646"/>
      <c r="L136" s="639"/>
    </row>
    <row r="137" spans="1:12" s="927" customFormat="1" ht="17.25" hidden="1" x14ac:dyDescent="0.25">
      <c r="A137" s="1006"/>
      <c r="B137" s="1007"/>
      <c r="C137" s="1008"/>
      <c r="D137" s="1001"/>
      <c r="E137" s="1009"/>
      <c r="F137" s="1012"/>
      <c r="G137" s="1009"/>
      <c r="H137" s="1009"/>
      <c r="I137" s="1013"/>
      <c r="J137" s="1009"/>
      <c r="K137" s="1009"/>
      <c r="L137" s="639"/>
    </row>
    <row r="138" spans="1:12" ht="16.5" hidden="1" x14ac:dyDescent="0.25">
      <c r="A138" s="1003"/>
      <c r="B138" s="1065"/>
      <c r="C138" s="1005"/>
      <c r="D138" s="1002"/>
      <c r="E138" s="646"/>
      <c r="F138" s="1012"/>
      <c r="G138" s="646"/>
      <c r="H138" s="646"/>
      <c r="I138" s="1013"/>
      <c r="J138" s="646"/>
      <c r="K138" s="646"/>
      <c r="L138" s="639"/>
    </row>
    <row r="139" spans="1:12" ht="16.5" hidden="1" x14ac:dyDescent="0.25">
      <c r="A139" s="1003"/>
      <c r="B139" s="1065"/>
      <c r="C139" s="1005"/>
      <c r="D139" s="1002"/>
      <c r="E139" s="646"/>
      <c r="F139" s="1012"/>
      <c r="G139" s="646"/>
      <c r="H139" s="646"/>
      <c r="I139" s="1013"/>
      <c r="J139" s="646"/>
      <c r="K139" s="646"/>
      <c r="L139" s="639"/>
    </row>
    <row r="140" spans="1:12" ht="16.5" hidden="1" x14ac:dyDescent="0.25">
      <c r="A140" s="1003"/>
      <c r="B140" s="1065"/>
      <c r="C140" s="1005"/>
      <c r="D140" s="1002"/>
      <c r="E140" s="646"/>
      <c r="F140" s="1012"/>
      <c r="G140" s="646"/>
      <c r="H140" s="646"/>
      <c r="I140" s="1013"/>
      <c r="J140" s="646"/>
      <c r="K140" s="646"/>
      <c r="L140" s="639"/>
    </row>
    <row r="141" spans="1:12" ht="16.5" hidden="1" x14ac:dyDescent="0.25">
      <c r="A141" s="1003"/>
      <c r="B141" s="1065"/>
      <c r="C141" s="1005"/>
      <c r="D141" s="1002"/>
      <c r="E141" s="639"/>
      <c r="F141" s="1012"/>
      <c r="G141" s="639"/>
      <c r="H141" s="639"/>
      <c r="I141" s="1013"/>
      <c r="J141" s="639"/>
      <c r="K141" s="639"/>
      <c r="L141" s="639"/>
    </row>
    <row r="142" spans="1:12" s="927" customFormat="1" ht="17.25" hidden="1" x14ac:dyDescent="0.25">
      <c r="A142" s="1006"/>
      <c r="B142" s="1007"/>
      <c r="C142" s="1010"/>
      <c r="D142" s="1001"/>
      <c r="E142" s="1011"/>
      <c r="F142" s="1012"/>
      <c r="G142" s="1011"/>
      <c r="H142" s="1011"/>
      <c r="I142" s="1013"/>
      <c r="J142" s="1011"/>
      <c r="K142" s="1011"/>
      <c r="L142" s="639"/>
    </row>
    <row r="143" spans="1:12" ht="16.5" hidden="1" x14ac:dyDescent="0.25">
      <c r="A143" s="1003"/>
      <c r="B143" s="1065"/>
      <c r="C143" s="1005"/>
      <c r="D143" s="1002"/>
      <c r="E143" s="639"/>
      <c r="F143" s="1012"/>
      <c r="G143" s="639"/>
      <c r="H143" s="639"/>
      <c r="I143" s="1013"/>
      <c r="J143" s="639"/>
      <c r="K143" s="639"/>
      <c r="L143" s="639"/>
    </row>
    <row r="144" spans="1:12" s="927" customFormat="1" ht="17.25" hidden="1" x14ac:dyDescent="0.25">
      <c r="A144" s="1006"/>
      <c r="B144" s="1007"/>
      <c r="C144" s="1010"/>
      <c r="D144" s="1001"/>
      <c r="E144" s="1011"/>
      <c r="F144" s="1012"/>
      <c r="G144" s="1011"/>
      <c r="H144" s="1011"/>
      <c r="I144" s="1013"/>
      <c r="J144" s="1011"/>
      <c r="K144" s="1011"/>
      <c r="L144" s="639"/>
    </row>
    <row r="145" spans="1:12" ht="16.5" hidden="1" x14ac:dyDescent="0.25">
      <c r="A145" s="1003"/>
      <c r="B145" s="1065"/>
      <c r="C145" s="1005"/>
      <c r="D145" s="1002"/>
      <c r="E145" s="639"/>
      <c r="F145" s="1012"/>
      <c r="G145" s="639"/>
      <c r="H145" s="639"/>
      <c r="I145" s="1013"/>
      <c r="J145" s="639"/>
      <c r="K145" s="639"/>
      <c r="L145" s="639"/>
    </row>
    <row r="146" spans="1:12" s="635" customFormat="1" ht="27.75" customHeight="1" thickBot="1" x14ac:dyDescent="0.25">
      <c r="A146" s="657"/>
      <c r="B146" s="658"/>
      <c r="C146" s="658"/>
      <c r="D146" s="659" t="s">
        <v>1023</v>
      </c>
      <c r="E146" s="656">
        <f>SUM(E89+E3)</f>
        <v>116000</v>
      </c>
      <c r="F146" s="656"/>
      <c r="G146" s="656"/>
      <c r="H146" s="656">
        <f>SUM(H89+H3)</f>
        <v>116000</v>
      </c>
      <c r="I146" s="656">
        <f>I3+I89</f>
        <v>0</v>
      </c>
      <c r="J146" s="999">
        <f>J3+J89</f>
        <v>0</v>
      </c>
      <c r="K146" s="656">
        <f>K3+K89</f>
        <v>0</v>
      </c>
      <c r="L146" s="656"/>
    </row>
  </sheetData>
  <sheetProtection selectLockedCells="1" selectUnlockedCells="1"/>
  <mergeCells count="8">
    <mergeCell ref="A89:D89"/>
    <mergeCell ref="M116:Q116"/>
    <mergeCell ref="A1:C1"/>
    <mergeCell ref="A3:D3"/>
    <mergeCell ref="M62:P62"/>
    <mergeCell ref="M86:S86"/>
    <mergeCell ref="M87:S87"/>
    <mergeCell ref="M88:S88"/>
  </mergeCells>
  <printOptions horizontalCentered="1"/>
  <pageMargins left="0.27559055118110237" right="0.31496062992125984" top="0.74803149606299213" bottom="0.47244094488188981" header="0.35433070866141736" footer="0.23622047244094491"/>
  <pageSetup paperSize="9" firstPageNumber="93" orientation="landscape" useFirstPageNumber="1" r:id="rId1"/>
  <headerFooter alignWithMargins="0">
    <oddHeader xml:space="preserve">&amp;C&amp;"Times New Roman CE,Félkövér"&amp;14Vecsés Város  beruházási kiadásainak előirányzata beruházásonként&amp;R&amp;"Times New Roman CE,Félkövér"&amp;12 &amp;"Arial,Normál" 6.2. sz. melléklet
Ezer Ft         
&amp;"Times New Roman CE,Általános"&amp;10   </oddHeader>
    <oddFooter>&amp;C- &amp;P -</oddFooter>
  </headerFooter>
  <rowBreaks count="2" manualBreakCount="2">
    <brk id="36" max="16383" man="1"/>
    <brk id="78" max="8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view="pageBreakPreview" topLeftCell="A4" zoomScale="120" zoomScaleNormal="110" zoomScaleSheetLayoutView="120" workbookViewId="0">
      <selection activeCell="I71" sqref="I71"/>
    </sheetView>
  </sheetViews>
  <sheetFormatPr defaultRowHeight="12.75" x14ac:dyDescent="0.2"/>
  <cols>
    <col min="1" max="1" width="3.33203125" style="286" customWidth="1"/>
    <col min="2" max="2" width="4" style="286" customWidth="1"/>
    <col min="3" max="3" width="8" style="286" customWidth="1"/>
    <col min="4" max="4" width="60.5" style="286" customWidth="1"/>
    <col min="5" max="8" width="0" style="286" hidden="1" customWidth="1"/>
    <col min="9" max="9" width="14.33203125" style="286" customWidth="1"/>
    <col min="10" max="10" width="14.33203125" style="286" hidden="1" customWidth="1"/>
    <col min="11" max="16384" width="9.33203125" style="286"/>
  </cols>
  <sheetData>
    <row r="1" spans="1:10" ht="48" customHeight="1" x14ac:dyDescent="0.2">
      <c r="A1" s="1632" t="s">
        <v>326</v>
      </c>
      <c r="B1" s="1632"/>
      <c r="C1" s="1632"/>
      <c r="D1" s="343" t="s">
        <v>264</v>
      </c>
      <c r="E1" s="343" t="s">
        <v>1119</v>
      </c>
      <c r="F1" s="343" t="s">
        <v>1120</v>
      </c>
      <c r="G1" s="343" t="s">
        <v>1121</v>
      </c>
      <c r="H1" s="343" t="s">
        <v>963</v>
      </c>
      <c r="I1" s="541" t="s">
        <v>1480</v>
      </c>
      <c r="J1" s="541" t="s">
        <v>1480</v>
      </c>
    </row>
    <row r="2" spans="1:10" ht="17.25" customHeight="1" x14ac:dyDescent="0.2">
      <c r="A2" s="660" t="s">
        <v>5</v>
      </c>
      <c r="B2" s="661"/>
      <c r="C2" s="662"/>
      <c r="D2" s="663" t="s">
        <v>1122</v>
      </c>
      <c r="E2" s="664" t="e">
        <f>SUM(E3+#REF!+#REF!+#REF!)</f>
        <v>#REF!</v>
      </c>
      <c r="F2" s="664" t="e">
        <f>SUM(F3+#REF!+#REF!+#REF!)</f>
        <v>#REF!</v>
      </c>
      <c r="G2" s="664" t="e">
        <f>SUM(G3+#REF!+#REF!+#REF!)</f>
        <v>#REF!</v>
      </c>
      <c r="H2" s="664" t="e">
        <f>SUM(H3+#REF!+#REF!+#REF!)</f>
        <v>#REF!</v>
      </c>
      <c r="I2" s="664">
        <f>SUM(I3)</f>
        <v>1000</v>
      </c>
      <c r="J2" s="664">
        <f>SUM(J3)</f>
        <v>0</v>
      </c>
    </row>
    <row r="3" spans="1:10" ht="17.25" customHeight="1" x14ac:dyDescent="0.2">
      <c r="A3" s="660"/>
      <c r="B3" s="665" t="s">
        <v>103</v>
      </c>
      <c r="C3" s="666"/>
      <c r="D3" s="667" t="s">
        <v>1123</v>
      </c>
      <c r="E3" s="668">
        <v>28633</v>
      </c>
      <c r="F3" s="668">
        <v>5000</v>
      </c>
      <c r="G3" s="668" t="e">
        <f>SUM(G4+#REF!)</f>
        <v>#REF!</v>
      </c>
      <c r="H3" s="668" t="e">
        <f>SUM(H4+#REF!)</f>
        <v>#REF!</v>
      </c>
      <c r="I3" s="668">
        <f>SUM(I4)</f>
        <v>1000</v>
      </c>
      <c r="J3" s="668">
        <f>SUM(J4+J9+J10+J11+J12+J13+J14)</f>
        <v>0</v>
      </c>
    </row>
    <row r="4" spans="1:10" s="307" customFormat="1" ht="15" x14ac:dyDescent="0.2">
      <c r="A4" s="669"/>
      <c r="B4" s="670"/>
      <c r="C4" s="671" t="s">
        <v>977</v>
      </c>
      <c r="D4" s="672" t="s">
        <v>1124</v>
      </c>
      <c r="E4" s="673"/>
      <c r="F4" s="673">
        <f>SUM(F16:F22)</f>
        <v>2000</v>
      </c>
      <c r="G4" s="673">
        <f>SUM(G5:G8)</f>
        <v>1800</v>
      </c>
      <c r="H4" s="674">
        <f>SUM(H5:H8)</f>
        <v>2000</v>
      </c>
      <c r="I4" s="674">
        <f>SUM(I5+I8)</f>
        <v>1000</v>
      </c>
      <c r="J4" s="674">
        <f>SUM(J5+J8)</f>
        <v>0</v>
      </c>
    </row>
    <row r="5" spans="1:10" s="315" customFormat="1" ht="17.25" customHeight="1" x14ac:dyDescent="0.2">
      <c r="A5" s="675"/>
      <c r="B5" s="676"/>
      <c r="C5" s="677" t="s">
        <v>331</v>
      </c>
      <c r="D5" s="678" t="s">
        <v>1125</v>
      </c>
      <c r="E5" s="673"/>
      <c r="F5" s="673"/>
      <c r="G5" s="673">
        <v>800</v>
      </c>
      <c r="H5" s="674">
        <v>800</v>
      </c>
      <c r="I5" s="674"/>
      <c r="J5" s="674"/>
    </row>
    <row r="6" spans="1:10" s="315" customFormat="1" ht="17.25" customHeight="1" x14ac:dyDescent="0.2">
      <c r="A6" s="675"/>
      <c r="B6" s="676"/>
      <c r="C6" s="677" t="s">
        <v>1126</v>
      </c>
      <c r="D6" s="679" t="s">
        <v>1127</v>
      </c>
      <c r="E6" s="673"/>
      <c r="F6" s="673">
        <v>150</v>
      </c>
      <c r="G6" s="673">
        <v>0</v>
      </c>
      <c r="H6" s="674">
        <v>400</v>
      </c>
      <c r="I6" s="674"/>
      <c r="J6" s="674"/>
    </row>
    <row r="7" spans="1:10" x14ac:dyDescent="0.2">
      <c r="A7" s="675"/>
      <c r="B7" s="676"/>
      <c r="C7" s="677" t="s">
        <v>1128</v>
      </c>
      <c r="D7" s="678" t="s">
        <v>1129</v>
      </c>
      <c r="E7" s="673"/>
      <c r="F7" s="673"/>
      <c r="G7" s="673">
        <v>500</v>
      </c>
      <c r="H7" s="674">
        <v>500</v>
      </c>
      <c r="I7" s="674"/>
      <c r="J7" s="674"/>
    </row>
    <row r="8" spans="1:10" s="315" customFormat="1" ht="18" customHeight="1" x14ac:dyDescent="0.2">
      <c r="A8" s="675"/>
      <c r="B8" s="676"/>
      <c r="C8" s="677" t="s">
        <v>1130</v>
      </c>
      <c r="D8" s="678" t="s">
        <v>1131</v>
      </c>
      <c r="E8" s="673"/>
      <c r="F8" s="673"/>
      <c r="G8" s="673">
        <v>500</v>
      </c>
      <c r="H8" s="674">
        <v>300</v>
      </c>
      <c r="I8" s="674">
        <v>1000</v>
      </c>
      <c r="J8" s="674"/>
    </row>
    <row r="9" spans="1:10" s="307" customFormat="1" ht="15" hidden="1" x14ac:dyDescent="0.2">
      <c r="A9" s="669"/>
      <c r="B9" s="670"/>
      <c r="C9" s="671" t="s">
        <v>930</v>
      </c>
      <c r="D9" s="672"/>
      <c r="E9" s="673"/>
      <c r="F9" s="673">
        <f>SUM(F21:F27)</f>
        <v>800</v>
      </c>
      <c r="G9" s="673">
        <f>SUM(G10:G13)</f>
        <v>0</v>
      </c>
      <c r="H9" s="674">
        <f>SUM(H10:H13)</f>
        <v>0</v>
      </c>
      <c r="I9" s="674"/>
      <c r="J9" s="674"/>
    </row>
    <row r="10" spans="1:10" s="307" customFormat="1" ht="15" hidden="1" x14ac:dyDescent="0.2">
      <c r="A10" s="669"/>
      <c r="B10" s="670"/>
      <c r="C10" s="671" t="s">
        <v>932</v>
      </c>
      <c r="D10" s="672"/>
      <c r="E10" s="673"/>
      <c r="F10" s="673" t="e">
        <f>SUM(F22:F28)</f>
        <v>#REF!</v>
      </c>
      <c r="G10" s="673">
        <f>SUM(G11:G15)</f>
        <v>0</v>
      </c>
      <c r="H10" s="674">
        <f>SUM(H11:H15)</f>
        <v>0</v>
      </c>
      <c r="I10" s="674"/>
      <c r="J10" s="674"/>
    </row>
    <row r="11" spans="1:10" s="307" customFormat="1" ht="15" hidden="1" x14ac:dyDescent="0.2">
      <c r="A11" s="669"/>
      <c r="B11" s="670"/>
      <c r="C11" s="671" t="s">
        <v>933</v>
      </c>
      <c r="D11" s="672"/>
      <c r="E11" s="673"/>
      <c r="F11" s="673" t="e">
        <f>SUM(F23:F29)</f>
        <v>#REF!</v>
      </c>
      <c r="G11" s="673">
        <f>SUM(G12:G16)</f>
        <v>0</v>
      </c>
      <c r="H11" s="674">
        <f>SUM(H12:H16)</f>
        <v>0</v>
      </c>
      <c r="I11" s="674"/>
      <c r="J11" s="674"/>
    </row>
    <row r="12" spans="1:10" s="307" customFormat="1" ht="15" hidden="1" x14ac:dyDescent="0.2">
      <c r="A12" s="669"/>
      <c r="B12" s="670"/>
      <c r="C12" s="671" t="s">
        <v>362</v>
      </c>
      <c r="D12" s="672"/>
      <c r="E12" s="673"/>
      <c r="F12" s="673"/>
      <c r="G12" s="673"/>
      <c r="H12" s="674"/>
      <c r="I12" s="674"/>
      <c r="J12" s="674"/>
    </row>
    <row r="13" spans="1:10" s="307" customFormat="1" ht="15" hidden="1" x14ac:dyDescent="0.2">
      <c r="A13" s="669"/>
      <c r="B13" s="670"/>
      <c r="C13" s="671" t="s">
        <v>1132</v>
      </c>
      <c r="D13" s="672"/>
      <c r="E13" s="673"/>
      <c r="F13" s="673"/>
      <c r="G13" s="673"/>
      <c r="H13" s="674"/>
      <c r="I13" s="674"/>
      <c r="J13" s="674"/>
    </row>
    <row r="14" spans="1:10" s="307" customFormat="1" ht="15" hidden="1" x14ac:dyDescent="0.2">
      <c r="A14" s="669"/>
      <c r="B14" s="670"/>
      <c r="C14" s="671" t="s">
        <v>1133</v>
      </c>
      <c r="D14" s="672"/>
      <c r="E14" s="673"/>
      <c r="F14" s="673"/>
      <c r="G14" s="673"/>
      <c r="H14" s="674"/>
      <c r="I14" s="674"/>
      <c r="J14" s="674"/>
    </row>
    <row r="15" spans="1:10" s="315" customFormat="1" ht="17.25" hidden="1" customHeight="1" x14ac:dyDescent="0.2">
      <c r="A15" s="675"/>
      <c r="B15" s="676"/>
      <c r="C15" s="677" t="s">
        <v>1134</v>
      </c>
      <c r="D15" s="679" t="s">
        <v>1135</v>
      </c>
      <c r="E15" s="673"/>
      <c r="F15" s="673"/>
      <c r="G15" s="673"/>
      <c r="H15" s="674"/>
      <c r="I15" s="674"/>
      <c r="J15" s="674"/>
    </row>
    <row r="16" spans="1:10" s="315" customFormat="1" ht="17.25" hidden="1" customHeight="1" x14ac:dyDescent="0.2">
      <c r="A16" s="675"/>
      <c r="B16" s="676"/>
      <c r="C16" s="680" t="s">
        <v>331</v>
      </c>
      <c r="D16" s="681" t="s">
        <v>1136</v>
      </c>
      <c r="E16" s="673"/>
      <c r="F16" s="673">
        <v>400</v>
      </c>
      <c r="G16" s="673"/>
      <c r="H16" s="674"/>
      <c r="I16" s="674"/>
      <c r="J16" s="674"/>
    </row>
    <row r="17" spans="1:10" s="315" customFormat="1" ht="17.25" hidden="1" customHeight="1" x14ac:dyDescent="0.2">
      <c r="A17" s="675"/>
      <c r="B17" s="676"/>
      <c r="C17" s="680" t="s">
        <v>1126</v>
      </c>
      <c r="D17" s="681" t="s">
        <v>1137</v>
      </c>
      <c r="E17" s="673"/>
      <c r="F17" s="673">
        <v>200</v>
      </c>
      <c r="G17" s="673"/>
      <c r="H17" s="674"/>
      <c r="I17" s="674"/>
      <c r="J17" s="674"/>
    </row>
    <row r="18" spans="1:10" s="315" customFormat="1" ht="17.25" hidden="1" customHeight="1" x14ac:dyDescent="0.2">
      <c r="A18" s="675"/>
      <c r="B18" s="676"/>
      <c r="C18" s="680" t="s">
        <v>1128</v>
      </c>
      <c r="D18" s="681" t="s">
        <v>1138</v>
      </c>
      <c r="E18" s="673"/>
      <c r="F18" s="673">
        <v>100</v>
      </c>
      <c r="G18" s="673"/>
      <c r="H18" s="674"/>
      <c r="I18" s="674"/>
      <c r="J18" s="674"/>
    </row>
    <row r="19" spans="1:10" s="315" customFormat="1" ht="17.25" hidden="1" customHeight="1" x14ac:dyDescent="0.2">
      <c r="A19" s="675"/>
      <c r="B19" s="676"/>
      <c r="C19" s="680" t="s">
        <v>1130</v>
      </c>
      <c r="D19" s="681" t="s">
        <v>1139</v>
      </c>
      <c r="E19" s="673"/>
      <c r="F19" s="673">
        <v>300</v>
      </c>
      <c r="G19" s="673"/>
      <c r="H19" s="674"/>
      <c r="I19" s="674"/>
      <c r="J19" s="674"/>
    </row>
    <row r="20" spans="1:10" s="315" customFormat="1" ht="17.25" hidden="1" customHeight="1" x14ac:dyDescent="0.2">
      <c r="A20" s="675"/>
      <c r="B20" s="676"/>
      <c r="C20" s="680" t="s">
        <v>1140</v>
      </c>
      <c r="D20" s="681" t="s">
        <v>1141</v>
      </c>
      <c r="E20" s="673"/>
      <c r="F20" s="673">
        <v>200</v>
      </c>
      <c r="G20" s="673"/>
      <c r="H20" s="674"/>
      <c r="I20" s="674"/>
      <c r="J20" s="674"/>
    </row>
    <row r="21" spans="1:10" s="315" customFormat="1" ht="17.25" hidden="1" customHeight="1" x14ac:dyDescent="0.2">
      <c r="A21" s="675"/>
      <c r="B21" s="676"/>
      <c r="C21" s="680" t="s">
        <v>1142</v>
      </c>
      <c r="D21" s="681" t="s">
        <v>1143</v>
      </c>
      <c r="E21" s="673"/>
      <c r="F21" s="673">
        <v>500</v>
      </c>
      <c r="G21" s="673"/>
      <c r="H21" s="674"/>
      <c r="I21" s="674"/>
      <c r="J21" s="674"/>
    </row>
    <row r="22" spans="1:10" s="315" customFormat="1" ht="17.25" hidden="1" customHeight="1" x14ac:dyDescent="0.2">
      <c r="A22" s="675"/>
      <c r="B22" s="676"/>
      <c r="C22" s="680" t="s">
        <v>1144</v>
      </c>
      <c r="D22" s="681" t="s">
        <v>1145</v>
      </c>
      <c r="E22" s="673"/>
      <c r="F22" s="673">
        <v>300</v>
      </c>
      <c r="G22" s="673"/>
      <c r="H22" s="674"/>
      <c r="I22" s="674"/>
      <c r="J22" s="674"/>
    </row>
    <row r="23" spans="1:10" ht="30" hidden="1" customHeight="1" x14ac:dyDescent="0.25">
      <c r="A23" s="660"/>
      <c r="B23" s="665"/>
      <c r="C23" s="682" t="s">
        <v>188</v>
      </c>
      <c r="D23" s="683" t="s">
        <v>1146</v>
      </c>
      <c r="E23" s="673"/>
      <c r="F23" s="673"/>
      <c r="G23" s="673">
        <v>0</v>
      </c>
      <c r="H23" s="674"/>
      <c r="I23" s="674"/>
      <c r="J23" s="674"/>
    </row>
    <row r="24" spans="1:10" ht="23.25" hidden="1" customHeight="1" x14ac:dyDescent="0.25">
      <c r="A24" s="660"/>
      <c r="B24" s="665"/>
      <c r="C24" s="671" t="s">
        <v>348</v>
      </c>
      <c r="D24" s="683" t="s">
        <v>1147</v>
      </c>
      <c r="E24" s="673"/>
      <c r="F24" s="673"/>
      <c r="G24" s="673"/>
      <c r="H24" s="674"/>
      <c r="I24" s="674"/>
      <c r="J24" s="674"/>
    </row>
    <row r="25" spans="1:10" hidden="1" x14ac:dyDescent="0.2"/>
    <row r="26" spans="1:10" hidden="1" x14ac:dyDescent="0.2"/>
    <row r="27" spans="1:10" hidden="1" x14ac:dyDescent="0.2"/>
    <row r="28" spans="1:10" ht="17.25" customHeight="1" x14ac:dyDescent="0.2">
      <c r="A28" s="660" t="s">
        <v>6</v>
      </c>
      <c r="B28" s="684"/>
      <c r="C28" s="666"/>
      <c r="D28" s="685" t="s">
        <v>1148</v>
      </c>
      <c r="E28" s="686" t="e">
        <f>SUM(#REF!+E37+E36+E30+E29)</f>
        <v>#REF!</v>
      </c>
      <c r="F28" s="686" t="e">
        <f>SUM(#REF!+F37+F36+F30+F29)</f>
        <v>#REF!</v>
      </c>
      <c r="G28" s="686" t="e">
        <f>SUM(#REF!+G37+G36+G30+G29)</f>
        <v>#REF!</v>
      </c>
      <c r="H28" s="686" t="e">
        <f>SUM(#REF!+H37+H36+H30+H29)</f>
        <v>#REF!</v>
      </c>
      <c r="I28" s="686">
        <f>SUM(I37+I36+I30+I29)</f>
        <v>4350</v>
      </c>
      <c r="J28" s="686">
        <f>SUM(J37+J36+J30+J29)</f>
        <v>0</v>
      </c>
    </row>
    <row r="29" spans="1:10" ht="17.25" hidden="1" customHeight="1" x14ac:dyDescent="0.2">
      <c r="A29" s="660"/>
      <c r="B29" s="665" t="s">
        <v>7</v>
      </c>
      <c r="C29" s="666"/>
      <c r="D29" s="687"/>
      <c r="E29" s="668">
        <v>9330</v>
      </c>
      <c r="F29" s="668">
        <v>4740</v>
      </c>
      <c r="G29" s="668">
        <v>5431</v>
      </c>
      <c r="H29" s="688">
        <v>5862</v>
      </c>
      <c r="I29" s="688">
        <v>0</v>
      </c>
      <c r="J29" s="688"/>
    </row>
    <row r="30" spans="1:10" ht="17.25" hidden="1" customHeight="1" x14ac:dyDescent="0.2">
      <c r="A30" s="660"/>
      <c r="B30" s="665" t="s">
        <v>9</v>
      </c>
      <c r="C30" s="666"/>
      <c r="D30" s="687"/>
      <c r="E30" s="668">
        <v>12055</v>
      </c>
      <c r="F30" s="668">
        <v>2009</v>
      </c>
      <c r="G30" s="668">
        <v>1950</v>
      </c>
      <c r="H30" s="688">
        <v>2005</v>
      </c>
      <c r="I30" s="688">
        <f>SUM(I31:I35)</f>
        <v>0</v>
      </c>
      <c r="J30" s="688">
        <f>SUM(J31:J35)</f>
        <v>0</v>
      </c>
    </row>
    <row r="31" spans="1:10" ht="28.5" hidden="1" customHeight="1" x14ac:dyDescent="0.2">
      <c r="A31" s="660"/>
      <c r="B31" s="644" t="s">
        <v>843</v>
      </c>
      <c r="C31" s="666"/>
      <c r="D31" s="689"/>
      <c r="E31" s="668"/>
      <c r="F31" s="668"/>
      <c r="G31" s="668"/>
      <c r="H31" s="688">
        <v>2005</v>
      </c>
      <c r="I31" s="688"/>
      <c r="J31" s="688"/>
    </row>
    <row r="32" spans="1:10" ht="17.25" hidden="1" customHeight="1" x14ac:dyDescent="0.2">
      <c r="A32" s="660"/>
      <c r="B32" s="644" t="s">
        <v>1149</v>
      </c>
      <c r="C32" s="666"/>
      <c r="D32" s="689"/>
      <c r="E32" s="668"/>
      <c r="F32" s="668"/>
      <c r="G32" s="668"/>
      <c r="H32" s="688"/>
      <c r="I32" s="688"/>
      <c r="J32" s="688"/>
    </row>
    <row r="33" spans="1:10" ht="17.25" hidden="1" customHeight="1" x14ac:dyDescent="0.2">
      <c r="A33" s="660"/>
      <c r="B33" s="644" t="s">
        <v>1150</v>
      </c>
      <c r="C33" s="666"/>
      <c r="D33" s="689"/>
      <c r="E33" s="668"/>
      <c r="F33" s="668"/>
      <c r="G33" s="668"/>
      <c r="H33" s="688"/>
      <c r="I33" s="688"/>
      <c r="J33" s="688"/>
    </row>
    <row r="34" spans="1:10" ht="17.25" hidden="1" customHeight="1" x14ac:dyDescent="0.2">
      <c r="A34" s="660"/>
      <c r="B34" s="644" t="s">
        <v>1151</v>
      </c>
      <c r="C34" s="666"/>
      <c r="D34" s="689"/>
      <c r="E34" s="668"/>
      <c r="F34" s="668"/>
      <c r="G34" s="668"/>
      <c r="H34" s="688"/>
      <c r="I34" s="688"/>
      <c r="J34" s="688"/>
    </row>
    <row r="35" spans="1:10" ht="17.25" hidden="1" customHeight="1" x14ac:dyDescent="0.2">
      <c r="A35" s="660"/>
      <c r="B35" s="644" t="s">
        <v>1152</v>
      </c>
      <c r="C35" s="666"/>
      <c r="D35" s="689"/>
      <c r="E35" s="668"/>
      <c r="F35" s="668"/>
      <c r="G35" s="668"/>
      <c r="H35" s="688"/>
      <c r="I35" s="688"/>
      <c r="J35" s="688"/>
    </row>
    <row r="36" spans="1:10" ht="17.25" customHeight="1" x14ac:dyDescent="0.2">
      <c r="A36" s="660"/>
      <c r="B36" s="644" t="s">
        <v>7</v>
      </c>
      <c r="C36" s="666"/>
      <c r="D36" s="690" t="s">
        <v>1153</v>
      </c>
      <c r="E36" s="668">
        <v>2500</v>
      </c>
      <c r="F36" s="668">
        <v>2600</v>
      </c>
      <c r="G36" s="668">
        <v>2601</v>
      </c>
      <c r="H36" s="688">
        <v>1850</v>
      </c>
      <c r="I36" s="688">
        <v>500</v>
      </c>
      <c r="J36" s="688">
        <v>0</v>
      </c>
    </row>
    <row r="37" spans="1:10" ht="17.25" customHeight="1" x14ac:dyDescent="0.2">
      <c r="A37" s="660"/>
      <c r="B37" s="665" t="s">
        <v>312</v>
      </c>
      <c r="C37" s="666"/>
      <c r="D37" s="690" t="s">
        <v>1154</v>
      </c>
      <c r="E37" s="668">
        <f>SUM(E38:E45)</f>
        <v>8500</v>
      </c>
      <c r="F37" s="668">
        <f>SUM(F38:F45)</f>
        <v>8500</v>
      </c>
      <c r="G37" s="668">
        <f>SUM(G38:G45)</f>
        <v>8500</v>
      </c>
      <c r="H37" s="668">
        <f>SUM(H38:H45)</f>
        <v>3900</v>
      </c>
      <c r="I37" s="668">
        <f>SUM(I38:I45)</f>
        <v>3850</v>
      </c>
      <c r="J37" s="668"/>
    </row>
    <row r="38" spans="1:10" ht="17.25" customHeight="1" x14ac:dyDescent="0.2">
      <c r="A38" s="691"/>
      <c r="B38" s="1633" t="s">
        <v>843</v>
      </c>
      <c r="C38" s="1633"/>
      <c r="D38" s="689" t="s">
        <v>1155</v>
      </c>
      <c r="E38" s="693">
        <v>1200</v>
      </c>
      <c r="F38" s="693">
        <v>1400</v>
      </c>
      <c r="G38" s="693">
        <v>1400</v>
      </c>
      <c r="H38" s="694">
        <v>1600</v>
      </c>
      <c r="I38" s="694">
        <v>1600</v>
      </c>
      <c r="J38" s="694">
        <v>0</v>
      </c>
    </row>
    <row r="39" spans="1:10" ht="17.25" customHeight="1" x14ac:dyDescent="0.2">
      <c r="A39" s="691"/>
      <c r="B39" s="1633" t="s">
        <v>1149</v>
      </c>
      <c r="C39" s="1633"/>
      <c r="D39" s="689" t="s">
        <v>1156</v>
      </c>
      <c r="E39" s="693">
        <v>2500</v>
      </c>
      <c r="F39" s="693">
        <v>2800</v>
      </c>
      <c r="G39" s="693">
        <v>2800</v>
      </c>
      <c r="H39" s="674"/>
      <c r="I39" s="674"/>
      <c r="J39" s="674"/>
    </row>
    <row r="40" spans="1:10" ht="17.25" customHeight="1" x14ac:dyDescent="0.2">
      <c r="A40" s="691"/>
      <c r="B40" s="1633" t="s">
        <v>1150</v>
      </c>
      <c r="C40" s="1633"/>
      <c r="D40" s="689" t="s">
        <v>1157</v>
      </c>
      <c r="E40" s="693">
        <v>500</v>
      </c>
      <c r="F40" s="693">
        <v>500</v>
      </c>
      <c r="G40" s="693">
        <v>500</v>
      </c>
      <c r="H40" s="694">
        <v>500</v>
      </c>
      <c r="I40" s="694">
        <v>1000</v>
      </c>
      <c r="J40" s="694"/>
    </row>
    <row r="41" spans="1:10" ht="17.25" customHeight="1" x14ac:dyDescent="0.2">
      <c r="A41" s="691"/>
      <c r="B41" s="1633" t="s">
        <v>1151</v>
      </c>
      <c r="C41" s="1633"/>
      <c r="D41" s="689" t="s">
        <v>1158</v>
      </c>
      <c r="E41" s="693">
        <v>200</v>
      </c>
      <c r="F41" s="693">
        <v>200</v>
      </c>
      <c r="G41" s="693">
        <v>200</v>
      </c>
      <c r="H41" s="694">
        <v>200</v>
      </c>
      <c r="I41" s="694"/>
      <c r="J41" s="694"/>
    </row>
    <row r="42" spans="1:10" ht="17.25" customHeight="1" x14ac:dyDescent="0.2">
      <c r="A42" s="691"/>
      <c r="B42" s="1633" t="s">
        <v>1152</v>
      </c>
      <c r="C42" s="1633"/>
      <c r="D42" s="689" t="s">
        <v>1159</v>
      </c>
      <c r="E42" s="693">
        <v>1500</v>
      </c>
      <c r="F42" s="693">
        <v>1000</v>
      </c>
      <c r="G42" s="693">
        <v>1000</v>
      </c>
      <c r="H42" s="694">
        <v>1000</v>
      </c>
      <c r="I42" s="694"/>
      <c r="J42" s="694"/>
    </row>
    <row r="43" spans="1:10" ht="17.25" customHeight="1" x14ac:dyDescent="0.2">
      <c r="A43" s="691"/>
      <c r="B43" s="1633" t="s">
        <v>1538</v>
      </c>
      <c r="C43" s="1633"/>
      <c r="D43" s="689" t="s">
        <v>1160</v>
      </c>
      <c r="E43" s="693">
        <v>2000</v>
      </c>
      <c r="F43" s="693">
        <v>2000</v>
      </c>
      <c r="G43" s="693">
        <v>2000</v>
      </c>
      <c r="H43" s="695"/>
      <c r="I43" s="674">
        <v>350</v>
      </c>
      <c r="J43" s="674"/>
    </row>
    <row r="44" spans="1:10" ht="17.25" customHeight="1" x14ac:dyDescent="0.2">
      <c r="A44" s="691"/>
      <c r="B44" s="1633" t="s">
        <v>1539</v>
      </c>
      <c r="C44" s="1633"/>
      <c r="D44" s="689" t="s">
        <v>1161</v>
      </c>
      <c r="E44" s="693"/>
      <c r="F44" s="693"/>
      <c r="G44" s="695"/>
      <c r="H44" s="696">
        <v>0</v>
      </c>
      <c r="I44" s="694">
        <v>350</v>
      </c>
      <c r="J44" s="694"/>
    </row>
    <row r="45" spans="1:10" ht="17.25" customHeight="1" x14ac:dyDescent="0.2">
      <c r="A45" s="691"/>
      <c r="B45" s="1633" t="s">
        <v>1540</v>
      </c>
      <c r="C45" s="1633"/>
      <c r="D45" s="689" t="s">
        <v>1162</v>
      </c>
      <c r="E45" s="693">
        <v>600</v>
      </c>
      <c r="F45" s="693">
        <v>600</v>
      </c>
      <c r="G45" s="693">
        <v>600</v>
      </c>
      <c r="H45" s="694">
        <v>600</v>
      </c>
      <c r="I45" s="694">
        <v>550</v>
      </c>
      <c r="J45" s="694"/>
    </row>
    <row r="46" spans="1:10" ht="17.25" customHeight="1" x14ac:dyDescent="0.2">
      <c r="A46" s="660" t="s">
        <v>20</v>
      </c>
      <c r="B46" s="684"/>
      <c r="C46" s="666"/>
      <c r="D46" s="663" t="s">
        <v>1163</v>
      </c>
      <c r="E46" s="664" t="e">
        <f>SUM(E47:E50,#REF!)</f>
        <v>#REF!</v>
      </c>
      <c r="F46" s="664" t="e">
        <f>SUM(F47+F48+F50+#REF!+F51+#REF!+F52+F53+F54+#REF!)</f>
        <v>#REF!</v>
      </c>
      <c r="G46" s="664" t="e">
        <f>SUM(G47+G48+G50+#REF!+G51+#REF!+G52+G53+G54+#REF!+G55+G59+G60+G90+G91)</f>
        <v>#REF!</v>
      </c>
      <c r="H46" s="664" t="e">
        <f>SUM(H47+H48+H50+#REF!+H51+#REF!+H52+H53+H54+#REF!+H55+H59+H60+H90+H91+H92)</f>
        <v>#REF!</v>
      </c>
      <c r="I46" s="664">
        <f>SUM(I49+I47+I48+I50+I51+I52+I53+I54+I55+I60+I71+I89+I90+I91+I92+I93+I94+I95+I96+I97+I98+I99+I100+I101+I59+I102+I104)+I103</f>
        <v>138255</v>
      </c>
      <c r="J46" s="664" t="e">
        <f>SUM(J49+J47+J48+J50+J51+J52+J53+J54+J55+#REF!+J60+J71+J89+J90+J91+J92+J93+J94+#REF!+J95+#REF!+J96+J97+J98+J99+J100+J101+#REF!+J59+J102+J104+#REF!+#REF!+#REF!+#REF!)</f>
        <v>#REF!</v>
      </c>
    </row>
    <row r="47" spans="1:10" ht="17.25" customHeight="1" x14ac:dyDescent="0.2">
      <c r="A47" s="660"/>
      <c r="B47" s="665" t="s">
        <v>1083</v>
      </c>
      <c r="C47" s="682"/>
      <c r="D47" s="667" t="s">
        <v>1164</v>
      </c>
      <c r="E47" s="668">
        <v>1000</v>
      </c>
      <c r="F47" s="668">
        <v>1000</v>
      </c>
      <c r="G47" s="668">
        <v>1000</v>
      </c>
      <c r="H47" s="688">
        <v>1400</v>
      </c>
      <c r="I47" s="688">
        <v>1400</v>
      </c>
      <c r="J47" s="688"/>
    </row>
    <row r="48" spans="1:10" ht="17.25" customHeight="1" x14ac:dyDescent="0.2">
      <c r="A48" s="660"/>
      <c r="B48" s="665" t="s">
        <v>845</v>
      </c>
      <c r="C48" s="682"/>
      <c r="D48" s="667" t="s">
        <v>1165</v>
      </c>
      <c r="E48" s="668">
        <v>3500</v>
      </c>
      <c r="F48" s="668">
        <v>3500</v>
      </c>
      <c r="G48" s="668">
        <v>3500</v>
      </c>
      <c r="H48" s="688">
        <v>3500</v>
      </c>
      <c r="I48" s="688">
        <v>2800</v>
      </c>
      <c r="J48" s="688"/>
    </row>
    <row r="49" spans="1:10" ht="17.25" customHeight="1" x14ac:dyDescent="0.2">
      <c r="A49" s="660"/>
      <c r="B49" s="665" t="s">
        <v>1085</v>
      </c>
      <c r="C49" s="682"/>
      <c r="D49" s="667" t="s">
        <v>1166</v>
      </c>
      <c r="E49" s="693"/>
      <c r="F49" s="693"/>
      <c r="G49" s="693"/>
      <c r="H49" s="694"/>
      <c r="I49" s="688">
        <v>1500</v>
      </c>
      <c r="J49" s="688"/>
    </row>
    <row r="50" spans="1:10" ht="17.25" customHeight="1" x14ac:dyDescent="0.2">
      <c r="A50" s="660"/>
      <c r="B50" s="665" t="s">
        <v>1087</v>
      </c>
      <c r="C50" s="682"/>
      <c r="D50" s="667" t="s">
        <v>1167</v>
      </c>
      <c r="E50" s="668">
        <v>550</v>
      </c>
      <c r="F50" s="668">
        <v>550</v>
      </c>
      <c r="G50" s="668">
        <v>550</v>
      </c>
      <c r="H50" s="688">
        <v>600</v>
      </c>
      <c r="I50" s="688">
        <v>480</v>
      </c>
      <c r="J50" s="688"/>
    </row>
    <row r="51" spans="1:10" ht="17.25" customHeight="1" x14ac:dyDescent="0.2">
      <c r="A51" s="660"/>
      <c r="B51" s="665" t="s">
        <v>1089</v>
      </c>
      <c r="C51" s="682"/>
      <c r="D51" s="383" t="s">
        <v>1168</v>
      </c>
      <c r="E51" s="668">
        <v>800</v>
      </c>
      <c r="F51" s="697">
        <v>800</v>
      </c>
      <c r="G51" s="697">
        <v>800</v>
      </c>
      <c r="H51" s="698">
        <v>800</v>
      </c>
      <c r="I51" s="698">
        <v>800</v>
      </c>
      <c r="J51" s="698"/>
    </row>
    <row r="52" spans="1:10" ht="17.25" customHeight="1" x14ac:dyDescent="0.2">
      <c r="A52" s="660"/>
      <c r="B52" s="665" t="s">
        <v>1090</v>
      </c>
      <c r="C52" s="682"/>
      <c r="D52" s="667" t="s">
        <v>1170</v>
      </c>
      <c r="E52" s="668"/>
      <c r="F52" s="697">
        <v>30000</v>
      </c>
      <c r="G52" s="697">
        <v>30000</v>
      </c>
      <c r="H52" s="698">
        <v>0</v>
      </c>
      <c r="I52" s="698">
        <v>0</v>
      </c>
      <c r="J52" s="698"/>
    </row>
    <row r="53" spans="1:10" ht="30" x14ac:dyDescent="0.2">
      <c r="A53" s="1061"/>
      <c r="B53" s="665" t="s">
        <v>1169</v>
      </c>
      <c r="C53" s="1062"/>
      <c r="D53" s="1060" t="s">
        <v>1172</v>
      </c>
      <c r="E53" s="1039"/>
      <c r="F53" s="1041">
        <v>5000</v>
      </c>
      <c r="G53" s="1041">
        <v>5000</v>
      </c>
      <c r="H53" s="1042">
        <v>2000</v>
      </c>
      <c r="I53" s="1042">
        <v>2000</v>
      </c>
      <c r="J53" s="1018"/>
    </row>
    <row r="54" spans="1:10" ht="17.25" customHeight="1" x14ac:dyDescent="0.2">
      <c r="A54" s="660"/>
      <c r="B54" s="665" t="s">
        <v>1171</v>
      </c>
      <c r="C54" s="682"/>
      <c r="D54" s="667" t="s">
        <v>1174</v>
      </c>
      <c r="E54" s="668"/>
      <c r="F54" s="697">
        <v>1000</v>
      </c>
      <c r="G54" s="697">
        <v>1000</v>
      </c>
      <c r="H54" s="698">
        <v>1000</v>
      </c>
      <c r="I54" s="698">
        <v>500</v>
      </c>
      <c r="J54" s="698"/>
    </row>
    <row r="55" spans="1:10" ht="17.25" customHeight="1" x14ac:dyDescent="0.2">
      <c r="A55" s="660"/>
      <c r="B55" s="665" t="s">
        <v>1173</v>
      </c>
      <c r="C55" s="699"/>
      <c r="D55" s="667" t="s">
        <v>1176</v>
      </c>
      <c r="E55" s="668"/>
      <c r="F55" s="700"/>
      <c r="G55" s="697">
        <f>SUM(G56:G58)</f>
        <v>11000</v>
      </c>
      <c r="H55" s="697">
        <f>SUM(H56:H58)</f>
        <v>7000</v>
      </c>
      <c r="I55" s="697">
        <f>SUM(I56:I58)</f>
        <v>4000</v>
      </c>
      <c r="J55" s="697"/>
    </row>
    <row r="56" spans="1:10" ht="17.25" customHeight="1" x14ac:dyDescent="0.2">
      <c r="A56" s="691"/>
      <c r="B56" s="701" t="s">
        <v>1541</v>
      </c>
      <c r="C56" s="692"/>
      <c r="D56" s="702" t="s">
        <v>1177</v>
      </c>
      <c r="E56" s="693"/>
      <c r="F56" s="703"/>
      <c r="G56" s="704">
        <v>4000</v>
      </c>
      <c r="H56" s="705">
        <v>0</v>
      </c>
      <c r="I56" s="705"/>
      <c r="J56" s="705"/>
    </row>
    <row r="57" spans="1:10" ht="17.25" customHeight="1" x14ac:dyDescent="0.2">
      <c r="A57" s="691"/>
      <c r="B57" s="701" t="s">
        <v>1542</v>
      </c>
      <c r="C57" s="692"/>
      <c r="D57" s="702" t="s">
        <v>1178</v>
      </c>
      <c r="E57" s="693"/>
      <c r="F57" s="703"/>
      <c r="G57" s="704">
        <v>4000</v>
      </c>
      <c r="H57" s="705">
        <v>4000</v>
      </c>
      <c r="I57" s="705">
        <v>2000</v>
      </c>
      <c r="J57" s="705"/>
    </row>
    <row r="58" spans="1:10" ht="17.25" customHeight="1" x14ac:dyDescent="0.2">
      <c r="A58" s="691"/>
      <c r="B58" s="701" t="s">
        <v>1543</v>
      </c>
      <c r="C58" s="692"/>
      <c r="D58" s="702" t="s">
        <v>1179</v>
      </c>
      <c r="E58" s="693"/>
      <c r="F58" s="703"/>
      <c r="G58" s="704">
        <v>3000</v>
      </c>
      <c r="H58" s="705">
        <v>3000</v>
      </c>
      <c r="I58" s="705">
        <v>2000</v>
      </c>
      <c r="J58" s="705"/>
    </row>
    <row r="59" spans="1:10" ht="17.25" customHeight="1" x14ac:dyDescent="0.2">
      <c r="A59" s="660"/>
      <c r="B59" s="706" t="s">
        <v>1544</v>
      </c>
      <c r="C59" s="706"/>
      <c r="D59" s="667" t="s">
        <v>1182</v>
      </c>
      <c r="E59" s="668"/>
      <c r="F59" s="700"/>
      <c r="G59" s="697">
        <v>1000</v>
      </c>
      <c r="H59" s="698">
        <v>1000</v>
      </c>
      <c r="I59" s="698">
        <v>1000</v>
      </c>
      <c r="J59" s="698"/>
    </row>
    <row r="60" spans="1:10" ht="19.5" customHeight="1" x14ac:dyDescent="0.2">
      <c r="A60" s="707"/>
      <c r="B60" s="706" t="s">
        <v>1175</v>
      </c>
      <c r="C60" s="706"/>
      <c r="D60" s="667" t="s">
        <v>1184</v>
      </c>
      <c r="E60" s="668"/>
      <c r="F60" s="700"/>
      <c r="G60" s="697" t="e">
        <f>SUM(#REF!+#REF!+#REF!,#REF!,G72)</f>
        <v>#REF!</v>
      </c>
      <c r="H60" s="697" t="e">
        <f>SUM(#REF!,#REF!,H72,#REF!)</f>
        <v>#REF!</v>
      </c>
      <c r="I60" s="697">
        <f>SUM(I61:I70)</f>
        <v>3470</v>
      </c>
      <c r="J60" s="697"/>
    </row>
    <row r="61" spans="1:10" ht="17.25" customHeight="1" x14ac:dyDescent="0.2">
      <c r="A61" s="660"/>
      <c r="B61" s="701" t="s">
        <v>1545</v>
      </c>
      <c r="C61" s="692"/>
      <c r="D61" s="1038" t="s">
        <v>1185</v>
      </c>
      <c r="E61" s="1039"/>
      <c r="F61" s="1040"/>
      <c r="G61" s="1041">
        <v>260</v>
      </c>
      <c r="H61" s="1042">
        <v>350</v>
      </c>
      <c r="I61" s="1042">
        <v>400</v>
      </c>
      <c r="J61" s="698"/>
    </row>
    <row r="62" spans="1:10" ht="28.5" customHeight="1" x14ac:dyDescent="0.2">
      <c r="A62" s="660"/>
      <c r="B62" s="701" t="s">
        <v>1546</v>
      </c>
      <c r="C62" s="692"/>
      <c r="D62" s="1043">
        <v>38791</v>
      </c>
      <c r="E62" s="1039"/>
      <c r="F62" s="1040"/>
      <c r="G62" s="1041">
        <v>300</v>
      </c>
      <c r="H62" s="1042">
        <v>320</v>
      </c>
      <c r="I62" s="1042">
        <v>300</v>
      </c>
      <c r="J62" s="698"/>
    </row>
    <row r="63" spans="1:10" ht="17.25" customHeight="1" x14ac:dyDescent="0.2">
      <c r="A63" s="660"/>
      <c r="B63" s="701" t="s">
        <v>1547</v>
      </c>
      <c r="C63" s="692"/>
      <c r="D63" s="1038" t="s">
        <v>1186</v>
      </c>
      <c r="E63" s="1039"/>
      <c r="F63" s="1040"/>
      <c r="G63" s="1041">
        <v>690</v>
      </c>
      <c r="H63" s="1042">
        <v>900</v>
      </c>
      <c r="I63" s="1042">
        <v>1000</v>
      </c>
      <c r="J63" s="698"/>
    </row>
    <row r="64" spans="1:10" ht="17.25" customHeight="1" x14ac:dyDescent="0.2">
      <c r="A64" s="660"/>
      <c r="B64" s="701" t="s">
        <v>1548</v>
      </c>
      <c r="C64" s="692"/>
      <c r="D64" s="1038" t="s">
        <v>1187</v>
      </c>
      <c r="E64" s="1039"/>
      <c r="F64" s="1040"/>
      <c r="G64" s="1041">
        <v>570</v>
      </c>
      <c r="H64" s="1042">
        <v>600</v>
      </c>
      <c r="I64" s="1042">
        <v>310</v>
      </c>
      <c r="J64" s="698"/>
    </row>
    <row r="65" spans="1:10" s="315" customFormat="1" ht="17.25" customHeight="1" x14ac:dyDescent="0.2">
      <c r="A65" s="660"/>
      <c r="B65" s="701" t="s">
        <v>1549</v>
      </c>
      <c r="C65" s="692"/>
      <c r="D65" s="1044" t="s">
        <v>1188</v>
      </c>
      <c r="E65" s="1039"/>
      <c r="F65" s="1040"/>
      <c r="G65" s="1041">
        <v>520</v>
      </c>
      <c r="H65" s="1042">
        <v>520</v>
      </c>
      <c r="I65" s="1042">
        <v>350</v>
      </c>
      <c r="J65" s="698"/>
    </row>
    <row r="66" spans="1:10" s="307" customFormat="1" ht="17.25" customHeight="1" x14ac:dyDescent="0.2">
      <c r="A66" s="660"/>
      <c r="B66" s="701" t="s">
        <v>1550</v>
      </c>
      <c r="C66" s="692"/>
      <c r="D66" s="1044" t="s">
        <v>1189</v>
      </c>
      <c r="E66" s="1039"/>
      <c r="F66" s="1040"/>
      <c r="G66" s="1041">
        <v>190</v>
      </c>
      <c r="H66" s="1042">
        <v>200</v>
      </c>
      <c r="I66" s="1042">
        <v>220</v>
      </c>
      <c r="J66" s="698"/>
    </row>
    <row r="67" spans="1:10" s="307" customFormat="1" ht="17.25" customHeight="1" x14ac:dyDescent="0.2">
      <c r="A67" s="660"/>
      <c r="B67" s="701" t="s">
        <v>1551</v>
      </c>
      <c r="C67" s="692"/>
      <c r="D67" s="1044" t="s">
        <v>1190</v>
      </c>
      <c r="E67" s="1039"/>
      <c r="F67" s="1040"/>
      <c r="G67" s="1041">
        <v>370</v>
      </c>
      <c r="H67" s="1042">
        <v>370</v>
      </c>
      <c r="I67" s="1042">
        <v>400</v>
      </c>
      <c r="J67" s="698"/>
    </row>
    <row r="68" spans="1:10" s="307" customFormat="1" ht="17.25" customHeight="1" x14ac:dyDescent="0.2">
      <c r="A68" s="660"/>
      <c r="B68" s="701" t="s">
        <v>1552</v>
      </c>
      <c r="C68" s="692"/>
      <c r="D68" s="1044" t="s">
        <v>1484</v>
      </c>
      <c r="E68" s="1039"/>
      <c r="F68" s="1040"/>
      <c r="G68" s="1041"/>
      <c r="H68" s="1042"/>
      <c r="I68" s="1042">
        <v>0</v>
      </c>
      <c r="J68" s="698"/>
    </row>
    <row r="69" spans="1:10" s="307" customFormat="1" ht="17.25" customHeight="1" x14ac:dyDescent="0.2">
      <c r="A69" s="660"/>
      <c r="B69" s="701" t="s">
        <v>1553</v>
      </c>
      <c r="C69" s="692"/>
      <c r="D69" s="1044" t="s">
        <v>1516</v>
      </c>
      <c r="E69" s="1039"/>
      <c r="F69" s="1040"/>
      <c r="G69" s="1041"/>
      <c r="H69" s="1042"/>
      <c r="I69" s="1042">
        <v>350</v>
      </c>
      <c r="J69" s="698"/>
    </row>
    <row r="70" spans="1:10" s="307" customFormat="1" ht="17.25" customHeight="1" x14ac:dyDescent="0.2">
      <c r="A70" s="660"/>
      <c r="B70" s="701" t="s">
        <v>1554</v>
      </c>
      <c r="C70" s="692"/>
      <c r="D70" s="1044" t="s">
        <v>1517</v>
      </c>
      <c r="E70" s="1039"/>
      <c r="F70" s="1040"/>
      <c r="G70" s="1041"/>
      <c r="H70" s="1042"/>
      <c r="I70" s="1042">
        <v>140</v>
      </c>
      <c r="J70" s="698"/>
    </row>
    <row r="71" spans="1:10" s="307" customFormat="1" ht="28.5" customHeight="1" x14ac:dyDescent="0.2">
      <c r="A71" s="660"/>
      <c r="B71" s="706" t="s">
        <v>1180</v>
      </c>
      <c r="C71" s="692"/>
      <c r="D71" s="667" t="s">
        <v>1192</v>
      </c>
      <c r="E71" s="668"/>
      <c r="F71" s="700"/>
      <c r="G71" s="697"/>
      <c r="H71" s="698"/>
      <c r="I71" s="698">
        <f>SUM(I72:I88)</f>
        <v>20000</v>
      </c>
      <c r="J71" s="698"/>
    </row>
    <row r="72" spans="1:10" ht="15" x14ac:dyDescent="0.2">
      <c r="A72" s="660"/>
      <c r="B72" s="709" t="s">
        <v>1555</v>
      </c>
      <c r="C72" s="710"/>
      <c r="D72" s="1038" t="s">
        <v>1742</v>
      </c>
      <c r="E72" s="1039"/>
      <c r="F72" s="1040"/>
      <c r="G72" s="1041">
        <v>1500</v>
      </c>
      <c r="H72" s="1042">
        <v>2000</v>
      </c>
      <c r="I72" s="1042">
        <v>500</v>
      </c>
      <c r="J72" s="698"/>
    </row>
    <row r="73" spans="1:10" ht="17.25" customHeight="1" x14ac:dyDescent="0.2">
      <c r="A73" s="660"/>
      <c r="B73" s="709" t="s">
        <v>1556</v>
      </c>
      <c r="C73" s="710"/>
      <c r="D73" s="1038" t="s">
        <v>1193</v>
      </c>
      <c r="E73" s="1039"/>
      <c r="F73" s="1040"/>
      <c r="G73" s="1041"/>
      <c r="H73" s="1042"/>
      <c r="I73" s="1042">
        <v>2200</v>
      </c>
      <c r="J73" s="698"/>
    </row>
    <row r="74" spans="1:10" ht="17.25" customHeight="1" x14ac:dyDescent="0.2">
      <c r="A74" s="660"/>
      <c r="B74" s="709" t="s">
        <v>1557</v>
      </c>
      <c r="C74" s="710"/>
      <c r="D74" s="1038" t="s">
        <v>1194</v>
      </c>
      <c r="E74" s="1039"/>
      <c r="F74" s="1040"/>
      <c r="G74" s="1041"/>
      <c r="H74" s="1042"/>
      <c r="I74" s="1042">
        <v>50</v>
      </c>
      <c r="J74" s="698"/>
    </row>
    <row r="75" spans="1:10" ht="17.25" customHeight="1" x14ac:dyDescent="0.2">
      <c r="A75" s="660"/>
      <c r="B75" s="709" t="s">
        <v>1558</v>
      </c>
      <c r="C75" s="710"/>
      <c r="D75" s="1038" t="s">
        <v>1526</v>
      </c>
      <c r="E75" s="1039"/>
      <c r="F75" s="1040"/>
      <c r="G75" s="1041"/>
      <c r="H75" s="1042"/>
      <c r="I75" s="1042">
        <v>100</v>
      </c>
      <c r="J75" s="698">
        <v>0</v>
      </c>
    </row>
    <row r="76" spans="1:10" ht="17.25" customHeight="1" x14ac:dyDescent="0.2">
      <c r="A76" s="660"/>
      <c r="B76" s="709" t="s">
        <v>1559</v>
      </c>
      <c r="C76" s="710"/>
      <c r="D76" s="1038" t="s">
        <v>1527</v>
      </c>
      <c r="E76" s="1039"/>
      <c r="F76" s="1040"/>
      <c r="G76" s="1041"/>
      <c r="H76" s="1042"/>
      <c r="I76" s="1042">
        <v>100</v>
      </c>
      <c r="J76" s="698">
        <v>0</v>
      </c>
    </row>
    <row r="77" spans="1:10" ht="17.25" customHeight="1" x14ac:dyDescent="0.2">
      <c r="A77" s="660"/>
      <c r="B77" s="709" t="s">
        <v>1560</v>
      </c>
      <c r="C77" s="710"/>
      <c r="D77" s="1038" t="s">
        <v>1528</v>
      </c>
      <c r="E77" s="1039"/>
      <c r="F77" s="1040"/>
      <c r="G77" s="1041"/>
      <c r="H77" s="1042"/>
      <c r="I77" s="1042">
        <v>100</v>
      </c>
      <c r="J77" s="698">
        <v>0</v>
      </c>
    </row>
    <row r="78" spans="1:10" ht="17.25" customHeight="1" x14ac:dyDescent="0.2">
      <c r="A78" s="660"/>
      <c r="B78" s="709" t="s">
        <v>1561</v>
      </c>
      <c r="C78" s="710"/>
      <c r="D78" s="1038" t="s">
        <v>1529</v>
      </c>
      <c r="E78" s="1039"/>
      <c r="F78" s="1040"/>
      <c r="G78" s="1041"/>
      <c r="H78" s="1042"/>
      <c r="I78" s="1042">
        <v>200</v>
      </c>
      <c r="J78" s="698">
        <v>0</v>
      </c>
    </row>
    <row r="79" spans="1:10" ht="17.25" customHeight="1" x14ac:dyDescent="0.2">
      <c r="A79" s="660"/>
      <c r="B79" s="709" t="s">
        <v>1562</v>
      </c>
      <c r="C79" s="710"/>
      <c r="D79" s="1038" t="s">
        <v>1530</v>
      </c>
      <c r="E79" s="1039"/>
      <c r="F79" s="1040"/>
      <c r="G79" s="1041"/>
      <c r="H79" s="1042"/>
      <c r="I79" s="1042">
        <v>500</v>
      </c>
      <c r="J79" s="698">
        <v>0</v>
      </c>
    </row>
    <row r="80" spans="1:10" ht="17.25" customHeight="1" x14ac:dyDescent="0.2">
      <c r="A80" s="660"/>
      <c r="B80" s="709" t="s">
        <v>1563</v>
      </c>
      <c r="C80" s="710"/>
      <c r="D80" s="1038" t="s">
        <v>1531</v>
      </c>
      <c r="E80" s="1039"/>
      <c r="F80" s="1040"/>
      <c r="G80" s="1041"/>
      <c r="H80" s="1042"/>
      <c r="I80" s="1042">
        <v>4000</v>
      </c>
      <c r="J80" s="698">
        <v>0</v>
      </c>
    </row>
    <row r="81" spans="1:10" ht="17.25" customHeight="1" x14ac:dyDescent="0.2">
      <c r="A81" s="660"/>
      <c r="B81" s="709" t="s">
        <v>1564</v>
      </c>
      <c r="C81" s="710"/>
      <c r="D81" s="1038" t="s">
        <v>1532</v>
      </c>
      <c r="E81" s="1039"/>
      <c r="F81" s="1040"/>
      <c r="G81" s="1041"/>
      <c r="H81" s="1042"/>
      <c r="I81" s="1042">
        <v>1200</v>
      </c>
      <c r="J81" s="698">
        <v>0</v>
      </c>
    </row>
    <row r="82" spans="1:10" ht="17.25" customHeight="1" x14ac:dyDescent="0.2">
      <c r="A82" s="660"/>
      <c r="B82" s="709" t="s">
        <v>1565</v>
      </c>
      <c r="C82" s="710"/>
      <c r="D82" s="1038" t="s">
        <v>1533</v>
      </c>
      <c r="E82" s="1039"/>
      <c r="F82" s="1040"/>
      <c r="G82" s="1041"/>
      <c r="H82" s="1042"/>
      <c r="I82" s="1042">
        <v>2000</v>
      </c>
      <c r="J82" s="698">
        <v>0</v>
      </c>
    </row>
    <row r="83" spans="1:10" ht="17.25" customHeight="1" x14ac:dyDescent="0.2">
      <c r="A83" s="660"/>
      <c r="B83" s="709" t="s">
        <v>1566</v>
      </c>
      <c r="C83" s="710"/>
      <c r="D83" s="1038" t="s">
        <v>1195</v>
      </c>
      <c r="E83" s="1039"/>
      <c r="F83" s="1040"/>
      <c r="G83" s="1041"/>
      <c r="H83" s="1042"/>
      <c r="I83" s="1042">
        <v>1000</v>
      </c>
      <c r="J83" s="698">
        <v>0</v>
      </c>
    </row>
    <row r="84" spans="1:10" ht="17.25" customHeight="1" x14ac:dyDescent="0.2">
      <c r="A84" s="660"/>
      <c r="B84" s="709" t="s">
        <v>1567</v>
      </c>
      <c r="C84" s="710"/>
      <c r="D84" s="1038" t="s">
        <v>1534</v>
      </c>
      <c r="E84" s="1039"/>
      <c r="F84" s="1040"/>
      <c r="G84" s="1041"/>
      <c r="H84" s="1042"/>
      <c r="I84" s="1042">
        <v>500</v>
      </c>
      <c r="J84" s="698">
        <v>0</v>
      </c>
    </row>
    <row r="85" spans="1:10" ht="17.25" customHeight="1" x14ac:dyDescent="0.2">
      <c r="A85" s="660"/>
      <c r="B85" s="709" t="s">
        <v>1568</v>
      </c>
      <c r="C85" s="710"/>
      <c r="D85" s="1038" t="s">
        <v>1535</v>
      </c>
      <c r="E85" s="1039"/>
      <c r="F85" s="1040"/>
      <c r="G85" s="1041"/>
      <c r="H85" s="1042"/>
      <c r="I85" s="1042">
        <v>1000</v>
      </c>
      <c r="J85" s="698">
        <v>0</v>
      </c>
    </row>
    <row r="86" spans="1:10" ht="21.75" customHeight="1" x14ac:dyDescent="0.2">
      <c r="A86" s="660"/>
      <c r="B86" s="709" t="s">
        <v>1569</v>
      </c>
      <c r="C86" s="710"/>
      <c r="D86" s="1038" t="s">
        <v>1196</v>
      </c>
      <c r="E86" s="1039"/>
      <c r="F86" s="1040"/>
      <c r="G86" s="1041"/>
      <c r="H86" s="1042"/>
      <c r="I86" s="1042">
        <v>1000</v>
      </c>
      <c r="J86" s="698">
        <v>0</v>
      </c>
    </row>
    <row r="87" spans="1:10" ht="17.25" customHeight="1" x14ac:dyDescent="0.2">
      <c r="A87" s="660"/>
      <c r="B87" s="709" t="s">
        <v>1570</v>
      </c>
      <c r="C87" s="710"/>
      <c r="D87" s="1038" t="s">
        <v>1536</v>
      </c>
      <c r="E87" s="1039"/>
      <c r="F87" s="1040"/>
      <c r="G87" s="1041"/>
      <c r="H87" s="1042"/>
      <c r="I87" s="1042">
        <v>1550</v>
      </c>
      <c r="J87" s="698">
        <v>0</v>
      </c>
    </row>
    <row r="88" spans="1:10" ht="17.25" customHeight="1" x14ac:dyDescent="0.2">
      <c r="A88" s="660"/>
      <c r="B88" s="709" t="s">
        <v>1571</v>
      </c>
      <c r="C88" s="710"/>
      <c r="D88" s="1038" t="s">
        <v>1537</v>
      </c>
      <c r="E88" s="1039"/>
      <c r="F88" s="1040"/>
      <c r="G88" s="1041"/>
      <c r="H88" s="1042"/>
      <c r="I88" s="1042">
        <v>4000</v>
      </c>
      <c r="J88" s="698">
        <v>0</v>
      </c>
    </row>
    <row r="89" spans="1:10" ht="17.25" customHeight="1" x14ac:dyDescent="0.2">
      <c r="A89" s="660"/>
      <c r="B89" s="1634" t="s">
        <v>1181</v>
      </c>
      <c r="C89" s="1634"/>
      <c r="D89" s="667" t="s">
        <v>1198</v>
      </c>
      <c r="E89" s="668"/>
      <c r="F89" s="700"/>
      <c r="G89" s="697"/>
      <c r="H89" s="698"/>
      <c r="I89" s="698">
        <v>1000</v>
      </c>
      <c r="J89" s="698"/>
    </row>
    <row r="90" spans="1:10" ht="17.25" customHeight="1" x14ac:dyDescent="0.2">
      <c r="A90" s="660"/>
      <c r="B90" s="1634" t="s">
        <v>1183</v>
      </c>
      <c r="C90" s="1634"/>
      <c r="D90" s="667" t="s">
        <v>1201</v>
      </c>
      <c r="E90" s="668"/>
      <c r="F90" s="700"/>
      <c r="G90" s="697">
        <v>1500</v>
      </c>
      <c r="H90" s="698">
        <v>1700</v>
      </c>
      <c r="I90" s="1042">
        <v>1000</v>
      </c>
      <c r="J90" s="698"/>
    </row>
    <row r="91" spans="1:10" ht="17.25" customHeight="1" x14ac:dyDescent="0.2">
      <c r="A91" s="660"/>
      <c r="B91" s="1634" t="s">
        <v>1191</v>
      </c>
      <c r="C91" s="1634"/>
      <c r="D91" s="667" t="s">
        <v>1203</v>
      </c>
      <c r="E91" s="668"/>
      <c r="F91" s="697"/>
      <c r="G91" s="697">
        <v>1000</v>
      </c>
      <c r="H91" s="698">
        <v>1000</v>
      </c>
      <c r="I91" s="698">
        <v>1500</v>
      </c>
      <c r="J91" s="698"/>
    </row>
    <row r="92" spans="1:10" ht="17.25" customHeight="1" x14ac:dyDescent="0.2">
      <c r="A92" s="660"/>
      <c r="B92" s="1634" t="s">
        <v>1197</v>
      </c>
      <c r="C92" s="1634"/>
      <c r="D92" s="667" t="s">
        <v>1204</v>
      </c>
      <c r="E92" s="668"/>
      <c r="F92" s="697"/>
      <c r="G92" s="700"/>
      <c r="H92" s="698">
        <v>0</v>
      </c>
      <c r="I92" s="698">
        <v>500</v>
      </c>
      <c r="J92" s="698"/>
    </row>
    <row r="93" spans="1:10" ht="30" customHeight="1" x14ac:dyDescent="0.2">
      <c r="A93" s="711"/>
      <c r="B93" s="1634" t="s">
        <v>1199</v>
      </c>
      <c r="C93" s="1634"/>
      <c r="D93" s="1055" t="s">
        <v>1207</v>
      </c>
      <c r="E93" s="1056"/>
      <c r="F93" s="1057"/>
      <c r="G93" s="1057"/>
      <c r="H93" s="1058"/>
      <c r="I93" s="1059">
        <v>525</v>
      </c>
      <c r="J93" s="712"/>
    </row>
    <row r="94" spans="1:10" ht="30" customHeight="1" x14ac:dyDescent="0.2">
      <c r="A94" s="660"/>
      <c r="B94" s="1634" t="s">
        <v>1200</v>
      </c>
      <c r="C94" s="1634"/>
      <c r="D94" s="1060" t="s">
        <v>1209</v>
      </c>
      <c r="E94" s="1039"/>
      <c r="F94" s="1041"/>
      <c r="G94" s="1041"/>
      <c r="H94" s="1040"/>
      <c r="I94" s="1042">
        <v>48000</v>
      </c>
      <c r="J94" s="698"/>
    </row>
    <row r="95" spans="1:10" ht="17.25" customHeight="1" x14ac:dyDescent="0.2">
      <c r="A95" s="713"/>
      <c r="B95" s="1634" t="s">
        <v>1202</v>
      </c>
      <c r="C95" s="1634"/>
      <c r="D95" s="714" t="s">
        <v>1212</v>
      </c>
      <c r="E95" s="715"/>
      <c r="F95" s="716"/>
      <c r="G95" s="716"/>
      <c r="H95" s="715"/>
      <c r="I95" s="715">
        <v>1000</v>
      </c>
      <c r="J95" s="715"/>
    </row>
    <row r="96" spans="1:10" ht="17.25" customHeight="1" x14ac:dyDescent="0.2">
      <c r="A96" s="713"/>
      <c r="B96" s="1634" t="s">
        <v>1572</v>
      </c>
      <c r="C96" s="1634"/>
      <c r="D96" s="1045" t="s">
        <v>1216</v>
      </c>
      <c r="E96" s="1046"/>
      <c r="F96" s="1047"/>
      <c r="G96" s="1047"/>
      <c r="H96" s="1046"/>
      <c r="I96" s="1046">
        <v>5000</v>
      </c>
      <c r="J96" s="715"/>
    </row>
    <row r="97" spans="1:10" ht="17.25" customHeight="1" x14ac:dyDescent="0.2">
      <c r="A97" s="713"/>
      <c r="B97" s="1634" t="s">
        <v>1205</v>
      </c>
      <c r="C97" s="1634"/>
      <c r="D97" s="1045" t="s">
        <v>1217</v>
      </c>
      <c r="E97" s="1046"/>
      <c r="F97" s="1047"/>
      <c r="G97" s="1047"/>
      <c r="H97" s="1046"/>
      <c r="I97" s="1046">
        <v>3000</v>
      </c>
      <c r="J97" s="715"/>
    </row>
    <row r="98" spans="1:10" ht="17.25" hidden="1" customHeight="1" x14ac:dyDescent="0.2">
      <c r="A98" s="713"/>
      <c r="B98" s="1634" t="s">
        <v>1206</v>
      </c>
      <c r="C98" s="1634"/>
      <c r="D98" s="1045"/>
      <c r="E98" s="1046"/>
      <c r="F98" s="1047"/>
      <c r="G98" s="1047"/>
      <c r="H98" s="1046"/>
      <c r="I98" s="1046"/>
      <c r="J98" s="715"/>
    </row>
    <row r="99" spans="1:10" ht="17.25" customHeight="1" x14ac:dyDescent="0.2">
      <c r="A99" s="713"/>
      <c r="B99" s="1634" t="s">
        <v>1208</v>
      </c>
      <c r="C99" s="1634"/>
      <c r="D99" s="1045" t="s">
        <v>1218</v>
      </c>
      <c r="E99" s="1046"/>
      <c r="F99" s="1047"/>
      <c r="G99" s="1047"/>
      <c r="H99" s="1046"/>
      <c r="I99" s="1046">
        <v>5000</v>
      </c>
      <c r="J99" s="715"/>
    </row>
    <row r="100" spans="1:10" ht="17.25" customHeight="1" x14ac:dyDescent="0.2">
      <c r="A100" s="713"/>
      <c r="B100" s="1634" t="s">
        <v>1210</v>
      </c>
      <c r="C100" s="1634"/>
      <c r="D100" s="714" t="s">
        <v>1486</v>
      </c>
      <c r="E100" s="715"/>
      <c r="F100" s="716"/>
      <c r="G100" s="716"/>
      <c r="H100" s="715"/>
      <c r="I100" s="715">
        <v>1000</v>
      </c>
      <c r="J100" s="715"/>
    </row>
    <row r="101" spans="1:10" s="721" customFormat="1" ht="17.25" hidden="1" customHeight="1" x14ac:dyDescent="0.2">
      <c r="A101" s="717"/>
      <c r="B101" s="1634" t="s">
        <v>1211</v>
      </c>
      <c r="C101" s="1634"/>
      <c r="D101" s="718"/>
      <c r="E101" s="719"/>
      <c r="F101" s="720"/>
      <c r="G101" s="720"/>
      <c r="H101" s="719"/>
      <c r="I101" s="719"/>
      <c r="J101" s="719"/>
    </row>
    <row r="102" spans="1:10" s="721" customFormat="1" ht="17.25" hidden="1" customHeight="1" x14ac:dyDescent="0.2">
      <c r="A102" s="717"/>
      <c r="B102" s="1634" t="s">
        <v>1213</v>
      </c>
      <c r="C102" s="1634"/>
      <c r="D102" s="1052"/>
      <c r="E102" s="1053"/>
      <c r="F102" s="1054"/>
      <c r="G102" s="1054"/>
      <c r="H102" s="1053"/>
      <c r="I102" s="1053">
        <v>0</v>
      </c>
      <c r="J102" s="1023"/>
    </row>
    <row r="103" spans="1:10" s="721" customFormat="1" ht="17.25" customHeight="1" x14ac:dyDescent="0.2">
      <c r="A103" s="717"/>
      <c r="B103" s="1634" t="s">
        <v>1214</v>
      </c>
      <c r="C103" s="1634"/>
      <c r="D103" s="718" t="s">
        <v>1488</v>
      </c>
      <c r="E103" s="719"/>
      <c r="F103" s="720"/>
      <c r="G103" s="720"/>
      <c r="H103" s="719"/>
      <c r="I103" s="719">
        <v>2780</v>
      </c>
      <c r="J103" s="719"/>
    </row>
    <row r="104" spans="1:10" s="721" customFormat="1" ht="17.25" customHeight="1" x14ac:dyDescent="0.2">
      <c r="A104" s="717"/>
      <c r="B104" s="1634" t="s">
        <v>1215</v>
      </c>
      <c r="C104" s="1634"/>
      <c r="D104" s="718" t="s">
        <v>1496</v>
      </c>
      <c r="E104" s="719"/>
      <c r="F104" s="720"/>
      <c r="G104" s="720"/>
      <c r="H104" s="719"/>
      <c r="I104" s="719">
        <v>30000</v>
      </c>
      <c r="J104" s="719"/>
    </row>
    <row r="105" spans="1:10" s="721" customFormat="1" ht="17.25" hidden="1" customHeight="1" x14ac:dyDescent="0.2">
      <c r="A105" s="717"/>
      <c r="B105" s="1635"/>
      <c r="C105" s="1635"/>
      <c r="D105" s="718"/>
      <c r="E105" s="719"/>
      <c r="F105" s="720"/>
      <c r="G105" s="720"/>
      <c r="H105" s="719"/>
      <c r="I105" s="719"/>
      <c r="J105" s="719"/>
    </row>
    <row r="106" spans="1:10" s="721" customFormat="1" ht="17.25" hidden="1" customHeight="1" x14ac:dyDescent="0.2">
      <c r="A106" s="717"/>
      <c r="B106" s="1635"/>
      <c r="C106" s="1635"/>
      <c r="D106" s="718"/>
      <c r="E106" s="719"/>
      <c r="F106" s="720"/>
      <c r="G106" s="720"/>
      <c r="H106" s="719"/>
      <c r="I106" s="719"/>
      <c r="J106" s="719"/>
    </row>
    <row r="107" spans="1:10" s="721" customFormat="1" ht="17.25" hidden="1" customHeight="1" x14ac:dyDescent="0.2">
      <c r="A107" s="717"/>
      <c r="B107" s="1635"/>
      <c r="C107" s="1635"/>
      <c r="D107" s="718"/>
      <c r="E107" s="719"/>
      <c r="F107" s="720"/>
      <c r="G107" s="720"/>
      <c r="H107" s="719"/>
      <c r="I107" s="719"/>
      <c r="J107" s="719"/>
    </row>
    <row r="108" spans="1:10" s="721" customFormat="1" ht="17.25" hidden="1" customHeight="1" x14ac:dyDescent="0.2">
      <c r="A108" s="717"/>
      <c r="B108" s="1635"/>
      <c r="C108" s="1635"/>
      <c r="D108" s="718"/>
      <c r="E108" s="719"/>
      <c r="F108" s="720"/>
      <c r="G108" s="720"/>
      <c r="H108" s="719"/>
      <c r="I108" s="719"/>
      <c r="J108" s="719"/>
    </row>
    <row r="109" spans="1:10" s="721" customFormat="1" ht="17.25" hidden="1" customHeight="1" x14ac:dyDescent="0.2">
      <c r="A109" s="717"/>
      <c r="B109" s="1635"/>
      <c r="C109" s="1635"/>
      <c r="D109" s="718"/>
      <c r="E109" s="719"/>
      <c r="F109" s="720"/>
      <c r="G109" s="720"/>
      <c r="H109" s="719"/>
      <c r="I109" s="719"/>
      <c r="J109" s="719"/>
    </row>
    <row r="110" spans="1:10" ht="21" customHeight="1" x14ac:dyDescent="0.2">
      <c r="A110" s="722"/>
      <c r="B110" s="723"/>
      <c r="C110" s="724"/>
      <c r="D110" s="725" t="s">
        <v>1219</v>
      </c>
      <c r="E110" s="726" t="e">
        <f t="shared" ref="E110:J110" si="0">SUM(E46+E28+E2)</f>
        <v>#REF!</v>
      </c>
      <c r="F110" s="726" t="e">
        <f t="shared" si="0"/>
        <v>#REF!</v>
      </c>
      <c r="G110" s="726" t="e">
        <f t="shared" si="0"/>
        <v>#REF!</v>
      </c>
      <c r="H110" s="726" t="e">
        <f t="shared" si="0"/>
        <v>#REF!</v>
      </c>
      <c r="I110" s="726">
        <f t="shared" si="0"/>
        <v>143605</v>
      </c>
      <c r="J110" s="726" t="e">
        <f t="shared" si="0"/>
        <v>#REF!</v>
      </c>
    </row>
    <row r="111" spans="1:10" ht="14.25" x14ac:dyDescent="0.2">
      <c r="A111" s="311"/>
      <c r="B111" s="540"/>
      <c r="C111" s="540"/>
      <c r="D111" s="311"/>
      <c r="E111" s="727"/>
      <c r="F111" s="727"/>
    </row>
    <row r="112" spans="1:10" ht="14.25" x14ac:dyDescent="0.2">
      <c r="A112" s="311"/>
      <c r="B112" s="540"/>
      <c r="C112" s="540"/>
      <c r="D112" s="311"/>
      <c r="E112" s="727"/>
      <c r="F112" s="727"/>
    </row>
    <row r="113" spans="1:10" ht="14.25" x14ac:dyDescent="0.2">
      <c r="A113" s="311"/>
      <c r="B113" s="540"/>
      <c r="C113" s="540"/>
      <c r="D113" s="311"/>
      <c r="E113" s="727"/>
      <c r="F113" s="727"/>
    </row>
    <row r="114" spans="1:10" ht="14.25" x14ac:dyDescent="0.2">
      <c r="A114" s="311"/>
      <c r="B114" s="311"/>
      <c r="C114" s="311"/>
      <c r="D114" s="311"/>
      <c r="E114" s="727"/>
      <c r="F114" s="727"/>
      <c r="G114" s="335" t="e">
        <f>SUM(G110+#REF!)</f>
        <v>#REF!</v>
      </c>
      <c r="H114" s="335"/>
      <c r="I114" s="335"/>
      <c r="J114" s="335"/>
    </row>
    <row r="115" spans="1:10" ht="14.25" x14ac:dyDescent="0.2">
      <c r="A115" s="311"/>
      <c r="B115" s="311"/>
      <c r="C115" s="311"/>
      <c r="D115" s="311"/>
      <c r="E115" s="727"/>
      <c r="F115" s="727"/>
    </row>
    <row r="116" spans="1:10" ht="14.25" x14ac:dyDescent="0.2">
      <c r="D116" s="311"/>
      <c r="E116" s="727"/>
      <c r="F116" s="727"/>
    </row>
    <row r="117" spans="1:10" ht="14.25" x14ac:dyDescent="0.2">
      <c r="D117" s="311"/>
      <c r="E117" s="727"/>
      <c r="F117" s="727"/>
    </row>
    <row r="118" spans="1:10" ht="14.25" x14ac:dyDescent="0.2">
      <c r="D118" s="311"/>
      <c r="E118" s="727"/>
      <c r="F118" s="727"/>
    </row>
    <row r="119" spans="1:10" ht="14.25" x14ac:dyDescent="0.2">
      <c r="D119" s="311"/>
      <c r="E119" s="727"/>
      <c r="F119" s="727"/>
    </row>
    <row r="120" spans="1:10" ht="14.25" x14ac:dyDescent="0.2">
      <c r="D120" s="311"/>
      <c r="E120" s="727"/>
      <c r="F120" s="727"/>
    </row>
    <row r="121" spans="1:10" ht="14.25" x14ac:dyDescent="0.2">
      <c r="D121" s="311"/>
      <c r="E121" s="727"/>
      <c r="F121" s="727"/>
    </row>
    <row r="122" spans="1:10" ht="14.25" x14ac:dyDescent="0.2">
      <c r="D122" s="311"/>
      <c r="E122" s="727"/>
      <c r="F122" s="727"/>
    </row>
    <row r="123" spans="1:10" ht="14.25" x14ac:dyDescent="0.2">
      <c r="D123" s="311"/>
      <c r="E123" s="727"/>
      <c r="F123" s="727"/>
    </row>
    <row r="124" spans="1:10" ht="14.25" x14ac:dyDescent="0.2">
      <c r="D124" s="311"/>
      <c r="E124" s="727"/>
      <c r="F124" s="727"/>
    </row>
    <row r="125" spans="1:10" ht="14.25" x14ac:dyDescent="0.2">
      <c r="D125" s="311"/>
      <c r="E125" s="727"/>
      <c r="F125" s="727"/>
    </row>
    <row r="126" spans="1:10" ht="14.25" x14ac:dyDescent="0.2">
      <c r="D126" s="311"/>
      <c r="E126" s="727"/>
      <c r="F126" s="727"/>
    </row>
    <row r="127" spans="1:10" ht="14.25" x14ac:dyDescent="0.2">
      <c r="D127" s="311"/>
      <c r="E127" s="727"/>
      <c r="F127" s="727"/>
    </row>
    <row r="128" spans="1:10" ht="14.25" x14ac:dyDescent="0.2">
      <c r="D128" s="311"/>
      <c r="E128" s="727"/>
      <c r="F128" s="727"/>
    </row>
    <row r="129" spans="4:6" ht="14.25" x14ac:dyDescent="0.2">
      <c r="D129" s="311"/>
      <c r="E129" s="727"/>
      <c r="F129" s="727"/>
    </row>
    <row r="130" spans="4:6" ht="14.25" x14ac:dyDescent="0.2">
      <c r="D130" s="311"/>
      <c r="E130" s="727"/>
      <c r="F130" s="727"/>
    </row>
    <row r="131" spans="4:6" ht="14.25" x14ac:dyDescent="0.2">
      <c r="D131" s="311"/>
      <c r="E131" s="727"/>
      <c r="F131" s="727"/>
    </row>
    <row r="132" spans="4:6" ht="14.25" x14ac:dyDescent="0.2">
      <c r="D132" s="311"/>
      <c r="E132" s="727"/>
      <c r="F132" s="727"/>
    </row>
    <row r="133" spans="4:6" ht="14.25" x14ac:dyDescent="0.2">
      <c r="D133" s="311"/>
      <c r="E133" s="727"/>
      <c r="F133" s="727"/>
    </row>
    <row r="134" spans="4:6" ht="14.25" x14ac:dyDescent="0.2">
      <c r="D134" s="311"/>
      <c r="E134" s="727"/>
      <c r="F134" s="727"/>
    </row>
    <row r="135" spans="4:6" ht="14.25" x14ac:dyDescent="0.2">
      <c r="D135" s="311"/>
      <c r="E135" s="727"/>
      <c r="F135" s="727"/>
    </row>
    <row r="136" spans="4:6" ht="14.25" x14ac:dyDescent="0.2">
      <c r="D136" s="311"/>
      <c r="E136" s="727"/>
      <c r="F136" s="727"/>
    </row>
    <row r="137" spans="4:6" ht="14.25" x14ac:dyDescent="0.2">
      <c r="D137" s="311"/>
      <c r="E137" s="727"/>
      <c r="F137" s="727"/>
    </row>
    <row r="138" spans="4:6" ht="14.25" x14ac:dyDescent="0.2">
      <c r="D138" s="311"/>
      <c r="E138" s="727"/>
      <c r="F138" s="727"/>
    </row>
    <row r="139" spans="4:6" ht="14.25" x14ac:dyDescent="0.2">
      <c r="D139" s="311"/>
      <c r="E139" s="727"/>
      <c r="F139" s="727"/>
    </row>
    <row r="140" spans="4:6" ht="14.25" x14ac:dyDescent="0.2">
      <c r="D140" s="311"/>
      <c r="E140" s="727"/>
      <c r="F140" s="727"/>
    </row>
    <row r="141" spans="4:6" ht="14.25" x14ac:dyDescent="0.2">
      <c r="D141" s="311"/>
      <c r="E141" s="727"/>
      <c r="F141" s="727"/>
    </row>
    <row r="142" spans="4:6" ht="14.25" x14ac:dyDescent="0.2">
      <c r="D142" s="311"/>
      <c r="E142" s="727"/>
      <c r="F142" s="727"/>
    </row>
    <row r="143" spans="4:6" ht="14.25" x14ac:dyDescent="0.2">
      <c r="D143" s="311"/>
      <c r="E143" s="727"/>
      <c r="F143" s="727"/>
    </row>
    <row r="144" spans="4:6" ht="14.25" x14ac:dyDescent="0.2">
      <c r="D144" s="311"/>
      <c r="E144" s="727"/>
      <c r="F144" s="727"/>
    </row>
    <row r="145" spans="4:6" ht="14.25" x14ac:dyDescent="0.2">
      <c r="D145" s="311"/>
      <c r="E145" s="727"/>
      <c r="F145" s="727"/>
    </row>
    <row r="146" spans="4:6" ht="14.25" x14ac:dyDescent="0.2">
      <c r="D146" s="311"/>
      <c r="E146" s="727"/>
      <c r="F146" s="727"/>
    </row>
    <row r="147" spans="4:6" ht="14.25" x14ac:dyDescent="0.2">
      <c r="D147" s="311"/>
      <c r="E147" s="727"/>
      <c r="F147" s="727"/>
    </row>
    <row r="148" spans="4:6" ht="14.25" x14ac:dyDescent="0.2">
      <c r="D148" s="311"/>
      <c r="E148" s="727"/>
      <c r="F148" s="727"/>
    </row>
    <row r="149" spans="4:6" ht="14.25" x14ac:dyDescent="0.2">
      <c r="D149" s="311"/>
      <c r="E149" s="727"/>
      <c r="F149" s="727"/>
    </row>
    <row r="150" spans="4:6" ht="14.25" x14ac:dyDescent="0.2">
      <c r="D150" s="311"/>
      <c r="E150" s="727"/>
      <c r="F150" s="727"/>
    </row>
    <row r="151" spans="4:6" ht="14.25" x14ac:dyDescent="0.2">
      <c r="D151" s="311"/>
      <c r="E151" s="727"/>
      <c r="F151" s="727"/>
    </row>
    <row r="152" spans="4:6" ht="14.25" x14ac:dyDescent="0.2">
      <c r="D152" s="311"/>
      <c r="E152" s="727"/>
      <c r="F152" s="727"/>
    </row>
    <row r="153" spans="4:6" ht="14.25" x14ac:dyDescent="0.2">
      <c r="D153" s="311"/>
      <c r="E153" s="727"/>
      <c r="F153" s="727"/>
    </row>
    <row r="154" spans="4:6" ht="14.25" x14ac:dyDescent="0.2">
      <c r="D154" s="311"/>
      <c r="E154" s="727"/>
      <c r="F154" s="727"/>
    </row>
    <row r="155" spans="4:6" ht="14.25" x14ac:dyDescent="0.2">
      <c r="D155" s="311"/>
      <c r="E155" s="727"/>
      <c r="F155" s="727"/>
    </row>
    <row r="156" spans="4:6" ht="14.25" x14ac:dyDescent="0.2">
      <c r="D156" s="311"/>
      <c r="E156" s="727"/>
      <c r="F156" s="727"/>
    </row>
    <row r="157" spans="4:6" ht="14.25" x14ac:dyDescent="0.2">
      <c r="D157" s="311"/>
      <c r="E157" s="727"/>
      <c r="F157" s="727"/>
    </row>
    <row r="158" spans="4:6" ht="14.25" x14ac:dyDescent="0.2">
      <c r="D158" s="311"/>
      <c r="E158" s="727"/>
      <c r="F158" s="727"/>
    </row>
    <row r="159" spans="4:6" ht="14.25" x14ac:dyDescent="0.2">
      <c r="D159" s="311"/>
      <c r="E159" s="727"/>
      <c r="F159" s="727"/>
    </row>
    <row r="160" spans="4:6" ht="14.25" x14ac:dyDescent="0.2">
      <c r="D160" s="311"/>
      <c r="E160" s="727"/>
      <c r="F160" s="727"/>
    </row>
    <row r="161" spans="4:6" ht="14.25" x14ac:dyDescent="0.2">
      <c r="D161" s="311"/>
      <c r="E161" s="727"/>
      <c r="F161" s="727"/>
    </row>
    <row r="162" spans="4:6" ht="14.25" x14ac:dyDescent="0.2">
      <c r="D162" s="311"/>
      <c r="E162" s="727"/>
      <c r="F162" s="727"/>
    </row>
    <row r="163" spans="4:6" ht="14.25" x14ac:dyDescent="0.2">
      <c r="D163" s="311"/>
      <c r="E163" s="727"/>
      <c r="F163" s="727"/>
    </row>
    <row r="164" spans="4:6" ht="14.25" x14ac:dyDescent="0.2">
      <c r="D164" s="311"/>
      <c r="E164" s="727"/>
      <c r="F164" s="727"/>
    </row>
    <row r="165" spans="4:6" ht="14.25" x14ac:dyDescent="0.2">
      <c r="D165" s="311"/>
      <c r="E165" s="727"/>
      <c r="F165" s="727"/>
    </row>
    <row r="166" spans="4:6" ht="14.25" x14ac:dyDescent="0.2">
      <c r="D166" s="311"/>
      <c r="E166" s="727"/>
      <c r="F166" s="727"/>
    </row>
    <row r="167" spans="4:6" ht="14.25" x14ac:dyDescent="0.2">
      <c r="D167" s="311"/>
      <c r="E167" s="727"/>
      <c r="F167" s="727"/>
    </row>
    <row r="168" spans="4:6" ht="14.25" x14ac:dyDescent="0.2">
      <c r="D168" s="311"/>
      <c r="E168" s="727"/>
      <c r="F168" s="727"/>
    </row>
    <row r="169" spans="4:6" ht="14.25" x14ac:dyDescent="0.2">
      <c r="D169" s="311"/>
      <c r="E169" s="727"/>
      <c r="F169" s="727"/>
    </row>
    <row r="170" spans="4:6" ht="14.25" x14ac:dyDescent="0.2">
      <c r="E170" s="727"/>
      <c r="F170" s="727"/>
    </row>
    <row r="171" spans="4:6" ht="14.25" x14ac:dyDescent="0.2">
      <c r="E171" s="727"/>
      <c r="F171" s="727"/>
    </row>
    <row r="172" spans="4:6" ht="14.25" x14ac:dyDescent="0.2">
      <c r="E172" s="727"/>
      <c r="F172" s="727"/>
    </row>
    <row r="173" spans="4:6" ht="14.25" x14ac:dyDescent="0.2">
      <c r="E173" s="727"/>
      <c r="F173" s="727"/>
    </row>
    <row r="174" spans="4:6" ht="14.25" x14ac:dyDescent="0.2">
      <c r="E174" s="727"/>
      <c r="F174" s="727"/>
    </row>
    <row r="175" spans="4:6" ht="14.25" x14ac:dyDescent="0.2">
      <c r="E175" s="727"/>
      <c r="F175" s="727"/>
    </row>
    <row r="176" spans="4:6" ht="14.25" x14ac:dyDescent="0.2">
      <c r="E176" s="727"/>
      <c r="F176" s="727"/>
    </row>
    <row r="177" spans="5:6" ht="14.25" x14ac:dyDescent="0.2">
      <c r="E177" s="727"/>
      <c r="F177" s="727"/>
    </row>
    <row r="178" spans="5:6" ht="14.25" x14ac:dyDescent="0.2">
      <c r="E178" s="727"/>
      <c r="F178" s="727"/>
    </row>
    <row r="179" spans="5:6" ht="14.25" x14ac:dyDescent="0.2">
      <c r="E179" s="727"/>
      <c r="F179" s="727"/>
    </row>
    <row r="180" spans="5:6" ht="14.25" x14ac:dyDescent="0.2">
      <c r="E180" s="727"/>
      <c r="F180" s="727"/>
    </row>
    <row r="181" spans="5:6" ht="14.25" x14ac:dyDescent="0.2">
      <c r="E181" s="727"/>
      <c r="F181" s="727"/>
    </row>
    <row r="182" spans="5:6" ht="14.25" x14ac:dyDescent="0.2">
      <c r="E182" s="727"/>
      <c r="F182" s="727"/>
    </row>
    <row r="183" spans="5:6" ht="14.25" x14ac:dyDescent="0.2">
      <c r="E183" s="727"/>
      <c r="F183" s="727"/>
    </row>
    <row r="184" spans="5:6" ht="14.25" x14ac:dyDescent="0.2">
      <c r="E184" s="727"/>
      <c r="F184" s="727"/>
    </row>
    <row r="185" spans="5:6" ht="14.25" x14ac:dyDescent="0.2">
      <c r="E185" s="727"/>
      <c r="F185" s="727"/>
    </row>
    <row r="186" spans="5:6" ht="14.25" x14ac:dyDescent="0.2">
      <c r="E186" s="727"/>
      <c r="F186" s="727"/>
    </row>
    <row r="187" spans="5:6" ht="14.25" x14ac:dyDescent="0.2">
      <c r="E187" s="727"/>
      <c r="F187" s="727"/>
    </row>
    <row r="188" spans="5:6" ht="14.25" x14ac:dyDescent="0.2">
      <c r="E188" s="727"/>
      <c r="F188" s="727"/>
    </row>
    <row r="189" spans="5:6" ht="14.25" x14ac:dyDescent="0.2">
      <c r="E189" s="727"/>
      <c r="F189" s="727"/>
    </row>
    <row r="190" spans="5:6" ht="14.25" x14ac:dyDescent="0.2">
      <c r="E190" s="727"/>
      <c r="F190" s="727"/>
    </row>
    <row r="191" spans="5:6" ht="14.25" x14ac:dyDescent="0.2">
      <c r="E191" s="727"/>
      <c r="F191" s="727"/>
    </row>
    <row r="192" spans="5:6" ht="14.25" x14ac:dyDescent="0.2">
      <c r="E192" s="727"/>
      <c r="F192" s="727"/>
    </row>
    <row r="193" spans="5:6" ht="14.25" x14ac:dyDescent="0.2">
      <c r="E193" s="727"/>
      <c r="F193" s="727"/>
    </row>
    <row r="194" spans="5:6" ht="14.25" x14ac:dyDescent="0.2">
      <c r="E194" s="727"/>
      <c r="F194" s="727"/>
    </row>
    <row r="195" spans="5:6" ht="14.25" x14ac:dyDescent="0.2">
      <c r="E195" s="727"/>
      <c r="F195" s="727"/>
    </row>
    <row r="196" spans="5:6" ht="14.25" x14ac:dyDescent="0.2">
      <c r="E196" s="727"/>
      <c r="F196" s="727"/>
    </row>
    <row r="197" spans="5:6" ht="14.25" x14ac:dyDescent="0.2">
      <c r="E197" s="727"/>
      <c r="F197" s="727"/>
    </row>
    <row r="198" spans="5:6" ht="14.25" x14ac:dyDescent="0.2">
      <c r="E198" s="727"/>
      <c r="F198" s="727"/>
    </row>
    <row r="199" spans="5:6" ht="14.25" x14ac:dyDescent="0.2">
      <c r="E199" s="727"/>
      <c r="F199" s="727"/>
    </row>
    <row r="200" spans="5:6" ht="14.25" x14ac:dyDescent="0.2">
      <c r="E200" s="727"/>
      <c r="F200" s="727"/>
    </row>
    <row r="201" spans="5:6" ht="14.25" x14ac:dyDescent="0.2">
      <c r="E201" s="727"/>
      <c r="F201" s="727"/>
    </row>
    <row r="202" spans="5:6" ht="14.25" x14ac:dyDescent="0.2">
      <c r="E202" s="727"/>
      <c r="F202" s="727"/>
    </row>
    <row r="203" spans="5:6" ht="14.25" x14ac:dyDescent="0.2">
      <c r="E203" s="727"/>
      <c r="F203" s="727"/>
    </row>
    <row r="204" spans="5:6" ht="14.25" x14ac:dyDescent="0.2">
      <c r="E204" s="727"/>
      <c r="F204" s="727"/>
    </row>
    <row r="205" spans="5:6" ht="14.25" x14ac:dyDescent="0.2">
      <c r="E205" s="727"/>
      <c r="F205" s="727"/>
    </row>
    <row r="206" spans="5:6" ht="14.25" x14ac:dyDescent="0.2">
      <c r="E206" s="727"/>
      <c r="F206" s="727"/>
    </row>
    <row r="207" spans="5:6" ht="14.25" x14ac:dyDescent="0.2">
      <c r="E207" s="727"/>
      <c r="F207" s="727"/>
    </row>
    <row r="208" spans="5:6" ht="14.25" x14ac:dyDescent="0.2">
      <c r="E208" s="727"/>
      <c r="F208" s="727"/>
    </row>
    <row r="209" spans="5:6" ht="14.25" x14ac:dyDescent="0.2">
      <c r="E209" s="727"/>
      <c r="F209" s="727"/>
    </row>
    <row r="210" spans="5:6" ht="14.25" x14ac:dyDescent="0.2">
      <c r="E210" s="727"/>
      <c r="F210" s="727"/>
    </row>
    <row r="211" spans="5:6" ht="14.25" x14ac:dyDescent="0.2">
      <c r="E211" s="727"/>
      <c r="F211" s="727"/>
    </row>
    <row r="212" spans="5:6" ht="14.25" x14ac:dyDescent="0.2">
      <c r="E212" s="727"/>
      <c r="F212" s="727"/>
    </row>
    <row r="213" spans="5:6" ht="14.25" x14ac:dyDescent="0.2">
      <c r="E213" s="727"/>
      <c r="F213" s="727"/>
    </row>
    <row r="214" spans="5:6" ht="14.25" x14ac:dyDescent="0.2">
      <c r="E214" s="727"/>
      <c r="F214" s="727"/>
    </row>
    <row r="215" spans="5:6" ht="14.25" x14ac:dyDescent="0.2">
      <c r="E215" s="727"/>
      <c r="F215" s="727"/>
    </row>
    <row r="216" spans="5:6" ht="14.25" x14ac:dyDescent="0.2">
      <c r="E216" s="727"/>
      <c r="F216" s="727"/>
    </row>
    <row r="217" spans="5:6" ht="14.25" x14ac:dyDescent="0.2">
      <c r="E217" s="727"/>
      <c r="F217" s="727"/>
    </row>
    <row r="218" spans="5:6" ht="14.25" x14ac:dyDescent="0.2">
      <c r="E218" s="727"/>
      <c r="F218" s="727"/>
    </row>
    <row r="219" spans="5:6" ht="14.25" x14ac:dyDescent="0.2">
      <c r="E219" s="727"/>
      <c r="F219" s="727"/>
    </row>
    <row r="220" spans="5:6" ht="14.25" x14ac:dyDescent="0.2">
      <c r="E220" s="727"/>
      <c r="F220" s="727"/>
    </row>
    <row r="221" spans="5:6" ht="14.25" x14ac:dyDescent="0.2">
      <c r="E221" s="727"/>
      <c r="F221" s="727"/>
    </row>
    <row r="222" spans="5:6" ht="14.25" x14ac:dyDescent="0.2">
      <c r="E222" s="727"/>
      <c r="F222" s="727"/>
    </row>
    <row r="223" spans="5:6" ht="14.25" x14ac:dyDescent="0.2">
      <c r="E223" s="727"/>
      <c r="F223" s="727"/>
    </row>
    <row r="224" spans="5:6" ht="14.25" x14ac:dyDescent="0.2">
      <c r="E224" s="727"/>
      <c r="F224" s="727"/>
    </row>
    <row r="225" spans="5:6" ht="14.25" x14ac:dyDescent="0.2">
      <c r="E225" s="727"/>
      <c r="F225" s="727"/>
    </row>
    <row r="226" spans="5:6" ht="14.25" x14ac:dyDescent="0.2">
      <c r="E226" s="727"/>
      <c r="F226" s="727"/>
    </row>
    <row r="227" spans="5:6" ht="14.25" x14ac:dyDescent="0.2">
      <c r="E227" s="727"/>
      <c r="F227" s="727"/>
    </row>
    <row r="228" spans="5:6" ht="14.25" x14ac:dyDescent="0.2">
      <c r="E228" s="727"/>
      <c r="F228" s="727"/>
    </row>
    <row r="229" spans="5:6" ht="14.25" x14ac:dyDescent="0.2">
      <c r="E229" s="727"/>
      <c r="F229" s="727"/>
    </row>
    <row r="230" spans="5:6" ht="14.25" x14ac:dyDescent="0.2">
      <c r="E230" s="727"/>
      <c r="F230" s="727"/>
    </row>
    <row r="231" spans="5:6" ht="14.25" x14ac:dyDescent="0.2">
      <c r="E231" s="727"/>
      <c r="F231" s="727"/>
    </row>
    <row r="232" spans="5:6" ht="14.25" x14ac:dyDescent="0.2">
      <c r="E232" s="727"/>
      <c r="F232" s="727"/>
    </row>
    <row r="233" spans="5:6" ht="14.25" x14ac:dyDescent="0.2">
      <c r="E233" s="727"/>
      <c r="F233" s="727"/>
    </row>
    <row r="234" spans="5:6" ht="14.25" x14ac:dyDescent="0.2">
      <c r="E234" s="727"/>
      <c r="F234" s="727"/>
    </row>
    <row r="235" spans="5:6" ht="14.25" x14ac:dyDescent="0.2">
      <c r="E235" s="727"/>
      <c r="F235" s="727"/>
    </row>
    <row r="236" spans="5:6" ht="14.25" x14ac:dyDescent="0.2">
      <c r="E236" s="727"/>
      <c r="F236" s="727"/>
    </row>
    <row r="237" spans="5:6" ht="14.25" x14ac:dyDescent="0.2">
      <c r="E237" s="727"/>
      <c r="F237" s="727"/>
    </row>
    <row r="238" spans="5:6" ht="14.25" x14ac:dyDescent="0.2">
      <c r="E238" s="727"/>
      <c r="F238" s="727"/>
    </row>
    <row r="239" spans="5:6" ht="14.25" x14ac:dyDescent="0.2">
      <c r="E239" s="727"/>
      <c r="F239" s="727"/>
    </row>
    <row r="240" spans="5:6" ht="14.25" x14ac:dyDescent="0.2">
      <c r="E240" s="727"/>
      <c r="F240" s="727"/>
    </row>
    <row r="241" spans="5:6" ht="14.25" x14ac:dyDescent="0.2">
      <c r="E241" s="727"/>
      <c r="F241" s="727"/>
    </row>
    <row r="242" spans="5:6" ht="14.25" x14ac:dyDescent="0.2">
      <c r="E242" s="727"/>
      <c r="F242" s="727"/>
    </row>
  </sheetData>
  <sheetProtection selectLockedCells="1" selectUnlockedCells="1"/>
  <mergeCells count="30">
    <mergeCell ref="B100:C100"/>
    <mergeCell ref="B101:C101"/>
    <mergeCell ref="B102:C102"/>
    <mergeCell ref="B103:C103"/>
    <mergeCell ref="B104:C104"/>
    <mergeCell ref="B107:C107"/>
    <mergeCell ref="B108:C108"/>
    <mergeCell ref="B109:C109"/>
    <mergeCell ref="B105:C105"/>
    <mergeCell ref="B106:C106"/>
    <mergeCell ref="B98:C98"/>
    <mergeCell ref="B99:C99"/>
    <mergeCell ref="B93:C93"/>
    <mergeCell ref="B94:C94"/>
    <mergeCell ref="B95:C95"/>
    <mergeCell ref="B91:C91"/>
    <mergeCell ref="B92:C92"/>
    <mergeCell ref="B89:C89"/>
    <mergeCell ref="B96:C96"/>
    <mergeCell ref="B97:C97"/>
    <mergeCell ref="B42:C42"/>
    <mergeCell ref="B43:C43"/>
    <mergeCell ref="B44:C44"/>
    <mergeCell ref="B45:C45"/>
    <mergeCell ref="B90:C90"/>
    <mergeCell ref="A1:C1"/>
    <mergeCell ref="B38:C38"/>
    <mergeCell ref="B39:C39"/>
    <mergeCell ref="B40:C40"/>
    <mergeCell ref="B41:C41"/>
  </mergeCells>
  <printOptions horizontalCentered="1"/>
  <pageMargins left="0.19685039370078741" right="0.19685039370078741" top="1.0236220472440944" bottom="0.39370078740157483" header="0.35433070866141736" footer="0.19685039370078741"/>
  <pageSetup paperSize="9" firstPageNumber="96" orientation="portrait" useFirstPageNumber="1" r:id="rId1"/>
  <headerFooter alignWithMargins="0">
    <oddHeader>&amp;C&amp;"Times New Roman,Félkövér"&amp;14
Vecsés Város Önkormányzat 2013. évi tervezett működési céltartaléka&amp;R&amp;12 7.1. sz. melléklet
Ezer Ft</oddHeader>
    <oddFooter>&amp;C- &amp;P -</oddFooter>
  </headerFooter>
  <rowBreaks count="1" manualBreakCount="1">
    <brk id="65" max="9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view="pageBreakPreview" zoomScale="120" zoomScaleNormal="120" zoomScaleSheetLayoutView="120" workbookViewId="0">
      <selection activeCell="B37" sqref="B37"/>
    </sheetView>
  </sheetViews>
  <sheetFormatPr defaultRowHeight="12.75" x14ac:dyDescent="0.2"/>
  <cols>
    <col min="1" max="1" width="3.33203125" style="286" customWidth="1"/>
    <col min="2" max="2" width="4" style="286" customWidth="1"/>
    <col min="3" max="3" width="8" style="286" customWidth="1"/>
    <col min="4" max="4" width="58.1640625" style="286" customWidth="1"/>
    <col min="5" max="5" width="0" style="286" hidden="1" customWidth="1"/>
    <col min="6" max="6" width="15.1640625" style="286" customWidth="1"/>
    <col min="7" max="7" width="15.1640625" style="286" hidden="1" customWidth="1"/>
    <col min="8" max="16384" width="9.33203125" style="286"/>
  </cols>
  <sheetData>
    <row r="1" spans="1:8" ht="48" customHeight="1" x14ac:dyDescent="0.2">
      <c r="A1" s="1636" t="s">
        <v>326</v>
      </c>
      <c r="B1" s="1636"/>
      <c r="C1" s="1636"/>
      <c r="D1" s="728" t="s">
        <v>264</v>
      </c>
      <c r="E1" s="728" t="s">
        <v>1220</v>
      </c>
      <c r="F1" s="729" t="s">
        <v>1480</v>
      </c>
      <c r="G1" s="729" t="s">
        <v>1480</v>
      </c>
    </row>
    <row r="2" spans="1:8" ht="15.75" customHeight="1" x14ac:dyDescent="0.2">
      <c r="A2" s="730" t="s">
        <v>5</v>
      </c>
      <c r="B2" s="731"/>
      <c r="C2" s="732"/>
      <c r="D2" s="733" t="s">
        <v>1122</v>
      </c>
      <c r="E2" s="734">
        <f>SUM(E3)</f>
        <v>36902</v>
      </c>
      <c r="F2" s="734">
        <f>SUM(F3)</f>
        <v>55000</v>
      </c>
      <c r="G2" s="734" t="e">
        <f>SUM(G3)</f>
        <v>#REF!</v>
      </c>
    </row>
    <row r="3" spans="1:8" ht="17.25" customHeight="1" x14ac:dyDescent="0.2">
      <c r="A3" s="735"/>
      <c r="B3" s="665" t="s">
        <v>1006</v>
      </c>
      <c r="C3" s="666"/>
      <c r="D3" s="667" t="s">
        <v>1123</v>
      </c>
      <c r="E3" s="668">
        <f>SUM(E5:E11)+E4</f>
        <v>36902</v>
      </c>
      <c r="F3" s="668">
        <f>SUM(F4+F5+F6+F7+F13)</f>
        <v>55000</v>
      </c>
      <c r="G3" s="668" t="e">
        <f>SUM(G4+G5+G6+G7+G13+#REF!+#REF!)</f>
        <v>#REF!</v>
      </c>
      <c r="H3" s="335"/>
    </row>
    <row r="4" spans="1:8" ht="17.25" customHeight="1" x14ac:dyDescent="0.2">
      <c r="A4" s="735"/>
      <c r="B4" s="644" t="s">
        <v>186</v>
      </c>
      <c r="C4" s="666"/>
      <c r="D4" s="667" t="s">
        <v>1487</v>
      </c>
      <c r="E4" s="673">
        <v>27597</v>
      </c>
      <c r="F4" s="673">
        <v>50000</v>
      </c>
      <c r="G4" s="673"/>
    </row>
    <row r="5" spans="1:8" ht="15" hidden="1" x14ac:dyDescent="0.2">
      <c r="A5" s="735"/>
      <c r="B5" s="644" t="s">
        <v>930</v>
      </c>
      <c r="C5" s="666"/>
      <c r="D5" s="667"/>
      <c r="E5" s="737"/>
      <c r="F5" s="673"/>
      <c r="G5" s="673"/>
    </row>
    <row r="6" spans="1:8" ht="15" hidden="1" x14ac:dyDescent="0.2">
      <c r="A6" s="735"/>
      <c r="B6" s="644" t="s">
        <v>932</v>
      </c>
      <c r="C6" s="666"/>
      <c r="D6" s="738"/>
      <c r="E6" s="737"/>
      <c r="F6" s="673"/>
      <c r="G6" s="673"/>
    </row>
    <row r="7" spans="1:8" ht="15" hidden="1" x14ac:dyDescent="0.2">
      <c r="A7" s="735"/>
      <c r="B7" s="644" t="s">
        <v>933</v>
      </c>
      <c r="C7" s="666"/>
      <c r="D7" s="667"/>
      <c r="E7" s="737"/>
      <c r="F7" s="673">
        <f>SUM(F8:F11)</f>
        <v>0</v>
      </c>
      <c r="G7" s="673">
        <f>SUM(G8:G11)</f>
        <v>0</v>
      </c>
    </row>
    <row r="8" spans="1:8" ht="15" hidden="1" x14ac:dyDescent="0.2">
      <c r="A8" s="735"/>
      <c r="B8" s="736" t="s">
        <v>1221</v>
      </c>
      <c r="C8" s="666"/>
      <c r="D8" s="708"/>
      <c r="E8" s="737"/>
      <c r="F8" s="673"/>
      <c r="G8" s="673"/>
    </row>
    <row r="9" spans="1:8" ht="26.25" hidden="1" customHeight="1" x14ac:dyDescent="0.2">
      <c r="A9" s="735"/>
      <c r="B9" s="736" t="s">
        <v>1222</v>
      </c>
      <c r="C9" s="666"/>
      <c r="D9" s="708"/>
      <c r="E9" s="673">
        <v>1755</v>
      </c>
      <c r="F9" s="673"/>
      <c r="G9" s="673"/>
    </row>
    <row r="10" spans="1:8" ht="15" hidden="1" x14ac:dyDescent="0.2">
      <c r="A10" s="735"/>
      <c r="B10" s="736" t="s">
        <v>1223</v>
      </c>
      <c r="C10" s="666"/>
      <c r="D10" s="708"/>
      <c r="E10" s="673">
        <v>1550</v>
      </c>
      <c r="F10" s="673">
        <v>0</v>
      </c>
      <c r="G10" s="673">
        <v>0</v>
      </c>
    </row>
    <row r="11" spans="1:8" ht="15" hidden="1" x14ac:dyDescent="0.2">
      <c r="A11" s="735"/>
      <c r="B11" s="736" t="s">
        <v>1224</v>
      </c>
      <c r="C11" s="666"/>
      <c r="D11" s="708"/>
      <c r="E11" s="673">
        <v>6000</v>
      </c>
      <c r="F11" s="673"/>
      <c r="G11" s="673"/>
    </row>
    <row r="12" spans="1:8" ht="15" x14ac:dyDescent="0.2">
      <c r="A12" s="735"/>
      <c r="B12" s="644" t="s">
        <v>930</v>
      </c>
      <c r="C12" s="666"/>
      <c r="D12" s="667" t="s">
        <v>1515</v>
      </c>
      <c r="E12" s="737"/>
      <c r="F12" s="673"/>
      <c r="G12" s="673"/>
    </row>
    <row r="13" spans="1:8" ht="15" x14ac:dyDescent="0.2">
      <c r="A13" s="735"/>
      <c r="B13" s="644" t="s">
        <v>932</v>
      </c>
      <c r="C13" s="666"/>
      <c r="D13" s="667" t="s">
        <v>1225</v>
      </c>
      <c r="E13" s="737"/>
      <c r="F13" s="673">
        <v>5000</v>
      </c>
      <c r="G13" s="673"/>
    </row>
    <row r="14" spans="1:8" ht="17.25" customHeight="1" x14ac:dyDescent="0.2">
      <c r="A14" s="735" t="s">
        <v>6</v>
      </c>
      <c r="B14" s="684"/>
      <c r="C14" s="666"/>
      <c r="D14" s="663" t="s">
        <v>1163</v>
      </c>
      <c r="E14" s="664">
        <f>SUM(E15+E16+E17+E19)</f>
        <v>68000</v>
      </c>
      <c r="F14" s="664">
        <f>SUM(F15+F16+F17+F19+F36)+F20+F21+F22+F23+F24+F25+F26+F27+F28</f>
        <v>40000</v>
      </c>
      <c r="G14" s="664">
        <f>SUM(G15+G16+G17+G19+G36)+G20+G21+G22+G23+G24+G25+G26+G27+G28+G29+G30+G31</f>
        <v>0</v>
      </c>
    </row>
    <row r="15" spans="1:8" s="315" customFormat="1" ht="17.25" customHeight="1" x14ac:dyDescent="0.2">
      <c r="A15" s="735"/>
      <c r="B15" s="665" t="s">
        <v>310</v>
      </c>
      <c r="C15" s="682"/>
      <c r="D15" s="667" t="s">
        <v>1226</v>
      </c>
      <c r="E15" s="668">
        <v>30000</v>
      </c>
      <c r="F15" s="668">
        <v>20000</v>
      </c>
      <c r="G15" s="668"/>
    </row>
    <row r="16" spans="1:8" ht="17.25" hidden="1" customHeight="1" x14ac:dyDescent="0.2">
      <c r="A16" s="735"/>
      <c r="B16" s="665" t="s">
        <v>312</v>
      </c>
      <c r="C16" s="682"/>
      <c r="D16" s="667" t="s">
        <v>735</v>
      </c>
      <c r="E16" s="668">
        <v>35000</v>
      </c>
      <c r="F16" s="668">
        <v>0</v>
      </c>
      <c r="G16" s="668"/>
    </row>
    <row r="17" spans="1:7" ht="39" hidden="1" customHeight="1" x14ac:dyDescent="0.2">
      <c r="A17" s="735"/>
      <c r="B17" s="1019" t="s">
        <v>313</v>
      </c>
      <c r="C17" s="1020"/>
      <c r="D17" s="1021" t="s">
        <v>1483</v>
      </c>
      <c r="E17" s="1022">
        <v>2000</v>
      </c>
      <c r="F17" s="1022">
        <v>0</v>
      </c>
      <c r="G17" s="668">
        <v>0</v>
      </c>
    </row>
    <row r="18" spans="1:7" ht="15" hidden="1" x14ac:dyDescent="0.2">
      <c r="A18" s="735"/>
      <c r="B18" s="665" t="s">
        <v>314</v>
      </c>
      <c r="C18" s="682"/>
      <c r="D18" s="667" t="s">
        <v>1227</v>
      </c>
      <c r="E18" s="668">
        <v>0</v>
      </c>
      <c r="F18" s="668">
        <v>0</v>
      </c>
      <c r="G18" s="668">
        <v>0</v>
      </c>
    </row>
    <row r="19" spans="1:7" ht="15" hidden="1" x14ac:dyDescent="0.2">
      <c r="A19" s="735"/>
      <c r="B19" s="665" t="s">
        <v>315</v>
      </c>
      <c r="C19" s="682"/>
      <c r="D19" s="667" t="s">
        <v>1228</v>
      </c>
      <c r="E19" s="668">
        <v>1000</v>
      </c>
      <c r="F19" s="668">
        <v>0</v>
      </c>
      <c r="G19" s="668">
        <v>0</v>
      </c>
    </row>
    <row r="20" spans="1:7" ht="15" hidden="1" x14ac:dyDescent="0.2">
      <c r="A20" s="735"/>
      <c r="B20" s="665" t="s">
        <v>316</v>
      </c>
      <c r="C20" s="682"/>
      <c r="D20" s="667"/>
      <c r="E20" s="668"/>
      <c r="F20" s="668"/>
      <c r="G20" s="668"/>
    </row>
    <row r="21" spans="1:7" ht="15" hidden="1" x14ac:dyDescent="0.2">
      <c r="A21" s="735"/>
      <c r="B21" s="665" t="s">
        <v>317</v>
      </c>
      <c r="C21" s="682"/>
      <c r="D21" s="667" t="s">
        <v>1229</v>
      </c>
      <c r="E21" s="668"/>
      <c r="F21" s="668"/>
      <c r="G21" s="668"/>
    </row>
    <row r="22" spans="1:7" ht="15" hidden="1" x14ac:dyDescent="0.2">
      <c r="A22" s="735"/>
      <c r="B22" s="665" t="s">
        <v>1054</v>
      </c>
      <c r="C22" s="682"/>
      <c r="D22" s="667" t="s">
        <v>1031</v>
      </c>
      <c r="E22" s="668"/>
      <c r="F22" s="668"/>
      <c r="G22" s="668"/>
    </row>
    <row r="23" spans="1:7" ht="28.5" hidden="1" customHeight="1" x14ac:dyDescent="0.2">
      <c r="A23" s="735"/>
      <c r="B23" s="665" t="s">
        <v>1056</v>
      </c>
      <c r="C23" s="682"/>
      <c r="D23" s="667" t="s">
        <v>1230</v>
      </c>
      <c r="E23" s="668"/>
      <c r="F23" s="668">
        <v>0</v>
      </c>
      <c r="G23" s="668">
        <v>0</v>
      </c>
    </row>
    <row r="24" spans="1:7" ht="15" x14ac:dyDescent="0.2">
      <c r="A24" s="735"/>
      <c r="B24" s="665" t="s">
        <v>312</v>
      </c>
      <c r="C24" s="682"/>
      <c r="D24" s="667" t="s">
        <v>1231</v>
      </c>
      <c r="E24" s="668"/>
      <c r="F24" s="668">
        <v>10000</v>
      </c>
      <c r="G24" s="668"/>
    </row>
    <row r="25" spans="1:7" ht="15" x14ac:dyDescent="0.2">
      <c r="A25" s="735"/>
      <c r="B25" s="665" t="s">
        <v>313</v>
      </c>
      <c r="C25" s="682"/>
      <c r="D25" s="667" t="s">
        <v>1495</v>
      </c>
      <c r="E25" s="668"/>
      <c r="F25" s="668">
        <v>10000</v>
      </c>
      <c r="G25" s="668"/>
    </row>
    <row r="26" spans="1:7" ht="15" hidden="1" x14ac:dyDescent="0.2">
      <c r="A26" s="735"/>
      <c r="B26" s="665"/>
      <c r="C26" s="682"/>
      <c r="D26" s="667"/>
      <c r="E26" s="668"/>
      <c r="F26" s="668"/>
      <c r="G26" s="668"/>
    </row>
    <row r="27" spans="1:7" ht="17.25" hidden="1" customHeight="1" x14ac:dyDescent="0.2">
      <c r="A27" s="735"/>
      <c r="B27" s="665"/>
      <c r="C27" s="671"/>
      <c r="D27" s="667"/>
      <c r="E27" s="693"/>
      <c r="F27" s="668"/>
      <c r="G27" s="668"/>
    </row>
    <row r="28" spans="1:7" ht="17.25" hidden="1" customHeight="1" x14ac:dyDescent="0.2">
      <c r="A28" s="735"/>
      <c r="B28" s="665"/>
      <c r="C28" s="671"/>
      <c r="D28" s="667"/>
      <c r="E28" s="693"/>
      <c r="F28" s="668"/>
      <c r="G28" s="668"/>
    </row>
    <row r="29" spans="1:7" ht="17.25" hidden="1" customHeight="1" x14ac:dyDescent="0.2">
      <c r="A29" s="735"/>
      <c r="B29" s="665"/>
      <c r="C29" s="671"/>
      <c r="D29" s="667"/>
      <c r="E29" s="693"/>
      <c r="F29" s="668"/>
      <c r="G29" s="668"/>
    </row>
    <row r="30" spans="1:7" ht="17.25" hidden="1" customHeight="1" x14ac:dyDescent="0.2">
      <c r="A30" s="735"/>
      <c r="B30" s="665"/>
      <c r="C30" s="671"/>
      <c r="D30" s="667"/>
      <c r="E30" s="693"/>
      <c r="F30" s="668"/>
      <c r="G30" s="668"/>
    </row>
    <row r="31" spans="1:7" ht="17.25" hidden="1" customHeight="1" x14ac:dyDescent="0.2">
      <c r="A31" s="735"/>
      <c r="B31" s="665"/>
      <c r="C31" s="671"/>
      <c r="D31" s="667"/>
      <c r="E31" s="693"/>
      <c r="F31" s="668"/>
      <c r="G31" s="668"/>
    </row>
    <row r="32" spans="1:7" hidden="1" x14ac:dyDescent="0.2"/>
    <row r="33" spans="1:7" hidden="1" x14ac:dyDescent="0.2"/>
    <row r="34" spans="1:7" hidden="1" x14ac:dyDescent="0.2"/>
    <row r="35" spans="1:7" hidden="1" x14ac:dyDescent="0.2"/>
    <row r="36" spans="1:7" ht="20.25" hidden="1" customHeight="1" x14ac:dyDescent="0.2">
      <c r="A36" s="739"/>
      <c r="B36" s="665"/>
      <c r="C36" s="740"/>
      <c r="D36" s="714"/>
      <c r="E36" s="715"/>
      <c r="F36" s="715"/>
      <c r="G36" s="715"/>
    </row>
    <row r="37" spans="1:7" ht="21" customHeight="1" x14ac:dyDescent="0.2">
      <c r="A37" s="741"/>
      <c r="B37" s="742"/>
      <c r="C37" s="743"/>
      <c r="D37" s="744" t="s">
        <v>1219</v>
      </c>
      <c r="E37" s="745">
        <f>SUM(E14+E2)</f>
        <v>104902</v>
      </c>
      <c r="F37" s="745">
        <f>SUM(F14+F2)</f>
        <v>95000</v>
      </c>
      <c r="G37" s="745" t="e">
        <f>SUM(G14+G2)</f>
        <v>#REF!</v>
      </c>
    </row>
    <row r="38" spans="1:7" ht="14.25" x14ac:dyDescent="0.2">
      <c r="A38" s="311"/>
      <c r="B38" s="540"/>
      <c r="C38" s="540"/>
      <c r="D38" s="311"/>
    </row>
    <row r="39" spans="1:7" ht="14.25" x14ac:dyDescent="0.2">
      <c r="A39" s="311"/>
      <c r="B39" s="540"/>
      <c r="C39" s="540"/>
      <c r="D39" s="311"/>
    </row>
    <row r="40" spans="1:7" ht="14.25" x14ac:dyDescent="0.2">
      <c r="A40" s="311"/>
      <c r="B40" s="540"/>
      <c r="C40" s="540"/>
      <c r="D40" s="311"/>
    </row>
    <row r="41" spans="1:7" ht="14.25" x14ac:dyDescent="0.2">
      <c r="A41" s="311"/>
      <c r="B41" s="311"/>
      <c r="C41" s="311"/>
      <c r="D41" s="311"/>
    </row>
    <row r="42" spans="1:7" ht="14.25" x14ac:dyDescent="0.2">
      <c r="A42" s="311"/>
      <c r="B42" s="311"/>
      <c r="C42" s="311"/>
      <c r="D42" s="311"/>
    </row>
    <row r="43" spans="1:7" ht="14.25" x14ac:dyDescent="0.2">
      <c r="D43" s="311"/>
    </row>
    <row r="44" spans="1:7" ht="14.25" x14ac:dyDescent="0.2">
      <c r="D44" s="311"/>
    </row>
    <row r="45" spans="1:7" ht="14.25" x14ac:dyDescent="0.2">
      <c r="D45" s="311"/>
    </row>
    <row r="46" spans="1:7" ht="14.25" x14ac:dyDescent="0.2">
      <c r="D46" s="311"/>
    </row>
    <row r="47" spans="1:7" ht="14.25" x14ac:dyDescent="0.2">
      <c r="D47" s="311"/>
    </row>
    <row r="48" spans="1:7" ht="14.25" x14ac:dyDescent="0.2">
      <c r="D48" s="311"/>
    </row>
    <row r="49" spans="4:4" ht="14.25" x14ac:dyDescent="0.2">
      <c r="D49" s="311"/>
    </row>
    <row r="50" spans="4:4" ht="14.25" x14ac:dyDescent="0.2">
      <c r="D50" s="311"/>
    </row>
    <row r="51" spans="4:4" ht="14.25" x14ac:dyDescent="0.2">
      <c r="D51" s="311"/>
    </row>
    <row r="52" spans="4:4" ht="14.25" x14ac:dyDescent="0.2">
      <c r="D52" s="311"/>
    </row>
    <row r="53" spans="4:4" ht="14.25" x14ac:dyDescent="0.2">
      <c r="D53" s="311"/>
    </row>
    <row r="54" spans="4:4" ht="14.25" x14ac:dyDescent="0.2">
      <c r="D54" s="311"/>
    </row>
    <row r="55" spans="4:4" ht="14.25" x14ac:dyDescent="0.2">
      <c r="D55" s="311"/>
    </row>
    <row r="56" spans="4:4" ht="14.25" x14ac:dyDescent="0.2">
      <c r="D56" s="311"/>
    </row>
    <row r="57" spans="4:4" ht="14.25" x14ac:dyDescent="0.2">
      <c r="D57" s="311"/>
    </row>
    <row r="58" spans="4:4" ht="14.25" x14ac:dyDescent="0.2">
      <c r="D58" s="311"/>
    </row>
    <row r="59" spans="4:4" ht="14.25" x14ac:dyDescent="0.2">
      <c r="D59" s="311"/>
    </row>
    <row r="60" spans="4:4" ht="14.25" x14ac:dyDescent="0.2">
      <c r="D60" s="311"/>
    </row>
    <row r="61" spans="4:4" ht="14.25" x14ac:dyDescent="0.2">
      <c r="D61" s="311"/>
    </row>
    <row r="62" spans="4:4" ht="14.25" x14ac:dyDescent="0.2">
      <c r="D62" s="311"/>
    </row>
    <row r="63" spans="4:4" ht="14.25" x14ac:dyDescent="0.2">
      <c r="D63" s="311"/>
    </row>
    <row r="64" spans="4:4" ht="14.25" x14ac:dyDescent="0.2">
      <c r="D64" s="311"/>
    </row>
    <row r="65" spans="4:4" ht="14.25" x14ac:dyDescent="0.2">
      <c r="D65" s="311"/>
    </row>
    <row r="66" spans="4:4" ht="14.25" x14ac:dyDescent="0.2">
      <c r="D66" s="311"/>
    </row>
    <row r="67" spans="4:4" ht="14.25" x14ac:dyDescent="0.2">
      <c r="D67" s="311"/>
    </row>
    <row r="68" spans="4:4" ht="14.25" x14ac:dyDescent="0.2">
      <c r="D68" s="311"/>
    </row>
    <row r="69" spans="4:4" ht="14.25" x14ac:dyDescent="0.2">
      <c r="D69" s="311"/>
    </row>
    <row r="70" spans="4:4" ht="14.25" x14ac:dyDescent="0.2">
      <c r="D70" s="311"/>
    </row>
    <row r="71" spans="4:4" ht="14.25" x14ac:dyDescent="0.2">
      <c r="D71" s="311"/>
    </row>
    <row r="72" spans="4:4" ht="14.25" x14ac:dyDescent="0.2">
      <c r="D72" s="311"/>
    </row>
    <row r="73" spans="4:4" ht="14.25" x14ac:dyDescent="0.2">
      <c r="D73" s="311"/>
    </row>
    <row r="74" spans="4:4" ht="14.25" x14ac:dyDescent="0.2">
      <c r="D74" s="311"/>
    </row>
    <row r="75" spans="4:4" ht="14.25" x14ac:dyDescent="0.2">
      <c r="D75" s="311"/>
    </row>
    <row r="76" spans="4:4" ht="14.25" x14ac:dyDescent="0.2">
      <c r="D76" s="311"/>
    </row>
    <row r="77" spans="4:4" ht="14.25" x14ac:dyDescent="0.2">
      <c r="D77" s="311"/>
    </row>
    <row r="78" spans="4:4" ht="14.25" x14ac:dyDescent="0.2">
      <c r="D78" s="311"/>
    </row>
    <row r="79" spans="4:4" ht="14.25" x14ac:dyDescent="0.2">
      <c r="D79" s="311"/>
    </row>
    <row r="80" spans="4:4" ht="14.25" x14ac:dyDescent="0.2">
      <c r="D80" s="311"/>
    </row>
    <row r="81" spans="4:4" ht="14.25" x14ac:dyDescent="0.2">
      <c r="D81" s="311"/>
    </row>
    <row r="82" spans="4:4" ht="14.25" x14ac:dyDescent="0.2">
      <c r="D82" s="311"/>
    </row>
    <row r="83" spans="4:4" ht="14.25" x14ac:dyDescent="0.2">
      <c r="D83" s="311"/>
    </row>
    <row r="84" spans="4:4" ht="14.25" x14ac:dyDescent="0.2">
      <c r="D84" s="311"/>
    </row>
    <row r="85" spans="4:4" ht="14.25" x14ac:dyDescent="0.2">
      <c r="D85" s="311"/>
    </row>
    <row r="86" spans="4:4" ht="14.25" x14ac:dyDescent="0.2">
      <c r="D86" s="311"/>
    </row>
    <row r="87" spans="4:4" ht="14.25" x14ac:dyDescent="0.2">
      <c r="D87" s="311"/>
    </row>
    <row r="88" spans="4:4" ht="14.25" x14ac:dyDescent="0.2">
      <c r="D88" s="311"/>
    </row>
    <row r="89" spans="4:4" ht="14.25" x14ac:dyDescent="0.2">
      <c r="D89" s="311"/>
    </row>
    <row r="90" spans="4:4" ht="14.25" x14ac:dyDescent="0.2">
      <c r="D90" s="311"/>
    </row>
    <row r="91" spans="4:4" ht="14.25" x14ac:dyDescent="0.2">
      <c r="D91" s="311"/>
    </row>
    <row r="92" spans="4:4" ht="14.25" x14ac:dyDescent="0.2">
      <c r="D92" s="311"/>
    </row>
    <row r="93" spans="4:4" ht="14.25" x14ac:dyDescent="0.2">
      <c r="D93" s="311"/>
    </row>
    <row r="94" spans="4:4" ht="14.25" x14ac:dyDescent="0.2">
      <c r="D94" s="311"/>
    </row>
    <row r="95" spans="4:4" ht="14.25" x14ac:dyDescent="0.2">
      <c r="D95" s="311"/>
    </row>
    <row r="96" spans="4:4" ht="14.25" x14ac:dyDescent="0.2">
      <c r="D96" s="311"/>
    </row>
  </sheetData>
  <sheetProtection selectLockedCells="1" selectUnlockedCells="1"/>
  <mergeCells count="1">
    <mergeCell ref="A1:C1"/>
  </mergeCells>
  <printOptions horizontalCentered="1"/>
  <pageMargins left="0.19685039370078741" right="0.19685039370078741" top="1.299212598425197" bottom="0.55118110236220474" header="0.35433070866141736" footer="0.23622047244094491"/>
  <pageSetup paperSize="9" firstPageNumber="97" orientation="portrait" useFirstPageNumber="1" r:id="rId1"/>
  <headerFooter alignWithMargins="0">
    <oddHeader>&amp;C&amp;"Times New Roman,Félkövér"&amp;14
Vecsés Város Önkormányzat 2013. évi tervezett felhalmozási céltartaléka&amp;R&amp;12 7.2. sz. melléklet
Ezer Ft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topLeftCell="A8" zoomScaleNormal="110" zoomScaleSheetLayoutView="100" workbookViewId="0">
      <selection activeCell="G30" sqref="G30"/>
    </sheetView>
  </sheetViews>
  <sheetFormatPr defaultRowHeight="12.75" x14ac:dyDescent="0.2"/>
  <cols>
    <col min="1" max="1" width="6.83203125" style="87" customWidth="1"/>
    <col min="2" max="2" width="52.5" style="88" customWidth="1"/>
    <col min="3" max="3" width="16.6640625" style="87" customWidth="1"/>
    <col min="4" max="5" width="16.6640625" style="87" hidden="1" customWidth="1"/>
    <col min="6" max="6" width="52.5" style="87" customWidth="1"/>
    <col min="7" max="7" width="16.6640625" style="87" customWidth="1"/>
    <col min="8" max="8" width="16.6640625" style="87" hidden="1" customWidth="1"/>
    <col min="9" max="9" width="14" style="87" hidden="1" customWidth="1"/>
    <col min="10" max="16384" width="9.33203125" style="87"/>
  </cols>
  <sheetData>
    <row r="1" spans="1:10" ht="39.75" customHeight="1" x14ac:dyDescent="0.2">
      <c r="A1" s="1535" t="s">
        <v>245</v>
      </c>
      <c r="B1" s="1535"/>
      <c r="C1" s="1535"/>
      <c r="D1" s="1535"/>
      <c r="E1" s="1535"/>
      <c r="F1" s="1535"/>
      <c r="G1" s="1535"/>
      <c r="H1" s="1535"/>
      <c r="I1" s="1535"/>
      <c r="J1" s="1532"/>
    </row>
    <row r="2" spans="1:10" ht="16.5" customHeight="1" thickBot="1" x14ac:dyDescent="0.25">
      <c r="G2" s="1533" t="s">
        <v>246</v>
      </c>
      <c r="H2" s="1533"/>
      <c r="I2" s="1533"/>
      <c r="J2" s="1532"/>
    </row>
    <row r="3" spans="1:10" ht="24" customHeight="1" x14ac:dyDescent="0.2">
      <c r="A3" s="1534" t="s">
        <v>197</v>
      </c>
      <c r="B3" s="1534" t="s">
        <v>198</v>
      </c>
      <c r="C3" s="1534"/>
      <c r="D3" s="1534"/>
      <c r="E3" s="1534"/>
      <c r="F3" s="1534" t="s">
        <v>199</v>
      </c>
      <c r="G3" s="1534"/>
      <c r="H3" s="1534"/>
      <c r="I3" s="1534"/>
      <c r="J3" s="1532"/>
    </row>
    <row r="4" spans="1:10" s="93" customFormat="1" ht="42" customHeight="1" x14ac:dyDescent="0.2">
      <c r="A4" s="1534"/>
      <c r="B4" s="90" t="s">
        <v>200</v>
      </c>
      <c r="C4" s="91" t="s">
        <v>1489</v>
      </c>
      <c r="D4" s="91" t="s">
        <v>1432</v>
      </c>
      <c r="E4" s="91" t="s">
        <v>1433</v>
      </c>
      <c r="F4" s="90" t="s">
        <v>200</v>
      </c>
      <c r="G4" s="92" t="s">
        <v>1489</v>
      </c>
      <c r="H4" s="92" t="s">
        <v>1432</v>
      </c>
      <c r="I4" s="92" t="s">
        <v>1434</v>
      </c>
      <c r="J4" s="1532"/>
    </row>
    <row r="5" spans="1:10" s="93" customFormat="1" ht="15" customHeight="1" x14ac:dyDescent="0.2">
      <c r="A5" s="89">
        <v>1</v>
      </c>
      <c r="B5" s="90">
        <v>2</v>
      </c>
      <c r="C5" s="91">
        <v>3</v>
      </c>
      <c r="D5" s="91">
        <v>9</v>
      </c>
      <c r="E5" s="91">
        <v>5</v>
      </c>
      <c r="F5" s="90">
        <v>6</v>
      </c>
      <c r="G5" s="92">
        <v>7</v>
      </c>
      <c r="H5" s="92">
        <v>8</v>
      </c>
      <c r="I5" s="92">
        <v>9</v>
      </c>
      <c r="J5" s="1532"/>
    </row>
    <row r="6" spans="1:10" ht="15" customHeight="1" x14ac:dyDescent="0.2">
      <c r="A6" s="146" t="s">
        <v>5</v>
      </c>
      <c r="B6" s="96" t="s">
        <v>247</v>
      </c>
      <c r="C6" s="97">
        <f>SUM('2. sz. mell '!D46)</f>
        <v>200000</v>
      </c>
      <c r="D6" s="97">
        <f>SUM('2. sz. mell '!E46)</f>
        <v>0</v>
      </c>
      <c r="E6" s="97" t="e">
        <f>SUM('2. sz. mell '!F46)</f>
        <v>#REF!</v>
      </c>
      <c r="F6" s="96" t="s">
        <v>134</v>
      </c>
      <c r="G6" s="98">
        <f>SUM('2. sz. mell '!D102)</f>
        <v>116000</v>
      </c>
      <c r="H6" s="98" t="e">
        <f>SUM('2. sz. mell '!E102)</f>
        <v>#REF!</v>
      </c>
      <c r="I6" s="98" t="e">
        <f>SUM('2. sz. mell '!F102)</f>
        <v>#REF!</v>
      </c>
      <c r="J6" s="1532"/>
    </row>
    <row r="7" spans="1:10" ht="15" customHeight="1" x14ac:dyDescent="0.2">
      <c r="A7" s="147" t="s">
        <v>6</v>
      </c>
      <c r="B7" s="100" t="s">
        <v>248</v>
      </c>
      <c r="C7" s="101"/>
      <c r="D7" s="101"/>
      <c r="E7" s="101"/>
      <c r="F7" s="100" t="s">
        <v>135</v>
      </c>
      <c r="G7" s="103">
        <f>SUM('2. sz. mell '!D103)</f>
        <v>25000</v>
      </c>
      <c r="H7" s="103" t="e">
        <f>SUM('2. sz. mell '!E103)</f>
        <v>#REF!</v>
      </c>
      <c r="I7" s="103" t="e">
        <f>SUM('2. sz. mell '!F103)</f>
        <v>#REF!</v>
      </c>
      <c r="J7" s="1532"/>
    </row>
    <row r="8" spans="1:10" ht="15" customHeight="1" x14ac:dyDescent="0.2">
      <c r="A8" s="147" t="s">
        <v>20</v>
      </c>
      <c r="B8" s="100" t="s">
        <v>74</v>
      </c>
      <c r="C8" s="101">
        <f>SUM('2. sz. mell '!D48)</f>
        <v>0</v>
      </c>
      <c r="D8" s="101">
        <f>SUM('2. sz. mell '!E48)</f>
        <v>0</v>
      </c>
      <c r="E8" s="101">
        <f>SUM('2. sz. mell '!F48)</f>
        <v>0</v>
      </c>
      <c r="F8" s="100" t="s">
        <v>136</v>
      </c>
      <c r="G8" s="103"/>
      <c r="H8" s="103"/>
      <c r="I8" s="103"/>
      <c r="J8" s="1532"/>
    </row>
    <row r="9" spans="1:10" ht="15" customHeight="1" x14ac:dyDescent="0.2">
      <c r="A9" s="147" t="s">
        <v>150</v>
      </c>
      <c r="B9" s="100" t="s">
        <v>46</v>
      </c>
      <c r="C9" s="101"/>
      <c r="D9" s="101"/>
      <c r="E9" s="101"/>
      <c r="F9" s="100" t="s">
        <v>137</v>
      </c>
      <c r="G9" s="103"/>
      <c r="H9" s="103"/>
      <c r="I9" s="103"/>
      <c r="J9" s="1532"/>
    </row>
    <row r="10" spans="1:10" ht="15" customHeight="1" x14ac:dyDescent="0.2">
      <c r="A10" s="147" t="s">
        <v>39</v>
      </c>
      <c r="B10" s="100" t="s">
        <v>249</v>
      </c>
      <c r="C10" s="101"/>
      <c r="D10" s="101"/>
      <c r="E10" s="101"/>
      <c r="F10" s="100" t="s">
        <v>250</v>
      </c>
      <c r="G10" s="103"/>
      <c r="H10" s="103"/>
      <c r="I10" s="103"/>
      <c r="J10" s="1532"/>
    </row>
    <row r="11" spans="1:10" ht="15" customHeight="1" x14ac:dyDescent="0.2">
      <c r="A11" s="147" t="s">
        <v>49</v>
      </c>
      <c r="B11" s="100" t="s">
        <v>251</v>
      </c>
      <c r="C11" s="104"/>
      <c r="D11" s="104"/>
      <c r="E11" s="104"/>
      <c r="F11" s="100" t="s">
        <v>252</v>
      </c>
      <c r="G11" s="103"/>
      <c r="H11" s="103"/>
      <c r="I11" s="103"/>
      <c r="J11" s="1532"/>
    </row>
    <row r="12" spans="1:10" ht="15" customHeight="1" x14ac:dyDescent="0.2">
      <c r="A12" s="147" t="s">
        <v>179</v>
      </c>
      <c r="B12" s="100" t="s">
        <v>1844</v>
      </c>
      <c r="C12" s="101">
        <f>SUM('2. sz. mell '!D36)</f>
        <v>157195</v>
      </c>
      <c r="D12" s="101"/>
      <c r="E12" s="101"/>
      <c r="F12" s="100" t="s">
        <v>140</v>
      </c>
      <c r="G12" s="103">
        <f>SUM('2. sz. mell '!D108)</f>
        <v>105932</v>
      </c>
      <c r="H12" s="103">
        <f>SUM('2. sz. mell '!E108)</f>
        <v>0</v>
      </c>
      <c r="I12" s="103">
        <f>SUM('2. sz. mell '!F108)</f>
        <v>0</v>
      </c>
      <c r="J12" s="1532"/>
    </row>
    <row r="13" spans="1:10" ht="15" customHeight="1" x14ac:dyDescent="0.2">
      <c r="A13" s="147" t="s">
        <v>75</v>
      </c>
      <c r="B13" s="100" t="s">
        <v>253</v>
      </c>
      <c r="C13" s="101">
        <f>SUM('2. sz. mell '!D49)</f>
        <v>500</v>
      </c>
      <c r="D13" s="101">
        <f>SUM('2. sz. mell '!E50)</f>
        <v>0</v>
      </c>
      <c r="E13" s="101" t="e">
        <f>SUM('2. sz. mell '!F50)</f>
        <v>#REF!</v>
      </c>
      <c r="F13" s="100" t="s">
        <v>204</v>
      </c>
      <c r="G13" s="103">
        <f>SUM('2. sz. mell '!D98)</f>
        <v>95000</v>
      </c>
      <c r="H13" s="103" t="e">
        <f>SUM('2. sz. mell '!E98)</f>
        <v>#REF!</v>
      </c>
      <c r="I13" s="103">
        <f>SUM('2. sz. mell '!F95)</f>
        <v>0</v>
      </c>
      <c r="J13" s="1532"/>
    </row>
    <row r="14" spans="1:10" ht="15" customHeight="1" x14ac:dyDescent="0.2">
      <c r="A14" s="147" t="s">
        <v>207</v>
      </c>
      <c r="B14" s="100" t="s">
        <v>254</v>
      </c>
      <c r="C14" s="104"/>
      <c r="D14" s="104"/>
      <c r="E14" s="104"/>
      <c r="F14" s="100"/>
      <c r="G14" s="103"/>
      <c r="H14" s="103"/>
      <c r="I14" s="103"/>
      <c r="J14" s="1532"/>
    </row>
    <row r="15" spans="1:10" ht="15" customHeight="1" x14ac:dyDescent="0.2">
      <c r="A15" s="147" t="s">
        <v>80</v>
      </c>
      <c r="B15" s="100" t="s">
        <v>90</v>
      </c>
      <c r="C15" s="103">
        <f>SUM('2. sz. mell '!D51)</f>
        <v>500</v>
      </c>
      <c r="D15" s="103">
        <f>SUM('2. sz. mell '!E51)</f>
        <v>0</v>
      </c>
      <c r="E15" s="103">
        <f>SUM('2. sz. mell '!F51)</f>
        <v>0</v>
      </c>
      <c r="F15" s="100" t="s">
        <v>1428</v>
      </c>
      <c r="G15" s="103"/>
      <c r="H15" s="103">
        <f>SUM('2. sz. mell '!E109)</f>
        <v>0</v>
      </c>
      <c r="I15" s="103">
        <f>SUM('2. sz. mell '!F109)</f>
        <v>0</v>
      </c>
      <c r="J15" s="1532"/>
    </row>
    <row r="16" spans="1:10" ht="15" customHeight="1" x14ac:dyDescent="0.2">
      <c r="A16" s="148" t="s">
        <v>81</v>
      </c>
      <c r="B16" s="109" t="s">
        <v>209</v>
      </c>
      <c r="C16" s="110">
        <f>SUM(C6:C15)</f>
        <v>358195</v>
      </c>
      <c r="D16" s="110">
        <f>SUM(D6:D15)</f>
        <v>0</v>
      </c>
      <c r="E16" s="110" t="e">
        <f>SUM(E6:E15)</f>
        <v>#REF!</v>
      </c>
      <c r="F16" s="109" t="s">
        <v>210</v>
      </c>
      <c r="G16" s="112">
        <f>SUM(G6:G14)-G15</f>
        <v>341932</v>
      </c>
      <c r="H16" s="112" t="e">
        <f>SUM(H6:H14)-H15</f>
        <v>#REF!</v>
      </c>
      <c r="I16" s="112" t="e">
        <f>SUM(I6:I14)-I15</f>
        <v>#REF!</v>
      </c>
      <c r="J16" s="1532"/>
    </row>
    <row r="17" spans="1:10" ht="15" customHeight="1" x14ac:dyDescent="0.2">
      <c r="A17" s="149" t="s">
        <v>86</v>
      </c>
      <c r="B17" s="114" t="s">
        <v>255</v>
      </c>
      <c r="C17" s="150">
        <f>'2. sz. mell '!D69</f>
        <v>0</v>
      </c>
      <c r="D17" s="150">
        <f>'2. sz. mell '!E69</f>
        <v>0</v>
      </c>
      <c r="E17" s="150">
        <f>'2. sz. mell '!F69</f>
        <v>0</v>
      </c>
      <c r="F17" s="100" t="s">
        <v>161</v>
      </c>
      <c r="G17" s="127"/>
      <c r="H17" s="127"/>
      <c r="I17" s="127"/>
      <c r="J17" s="1532"/>
    </row>
    <row r="18" spans="1:10" ht="15" customHeight="1" x14ac:dyDescent="0.2">
      <c r="A18" s="147" t="s">
        <v>99</v>
      </c>
      <c r="B18" s="100" t="s">
        <v>88</v>
      </c>
      <c r="C18" s="938"/>
      <c r="D18" s="938"/>
      <c r="E18" s="938"/>
      <c r="F18" s="100" t="s">
        <v>256</v>
      </c>
      <c r="G18" s="120">
        <f>SUM('2. sz. mell '!D118)</f>
        <v>64000</v>
      </c>
      <c r="H18" s="120" t="e">
        <f>SUM('2. sz. mell '!E118)</f>
        <v>#REF!</v>
      </c>
      <c r="I18" s="120" t="e">
        <f>SUM('2. sz. mell '!F118)</f>
        <v>#REF!</v>
      </c>
      <c r="J18" s="1532"/>
    </row>
    <row r="19" spans="1:10" ht="15" customHeight="1" x14ac:dyDescent="0.2">
      <c r="A19" s="147" t="s">
        <v>100</v>
      </c>
      <c r="B19" s="100" t="s">
        <v>95</v>
      </c>
      <c r="C19" s="938"/>
      <c r="D19" s="938"/>
      <c r="E19" s="938"/>
      <c r="F19" s="100" t="s">
        <v>163</v>
      </c>
      <c r="G19" s="120"/>
      <c r="H19" s="120"/>
      <c r="I19" s="120"/>
      <c r="J19" s="1532"/>
    </row>
    <row r="20" spans="1:10" ht="15" customHeight="1" x14ac:dyDescent="0.2">
      <c r="A20" s="147" t="s">
        <v>212</v>
      </c>
      <c r="B20" s="100" t="s">
        <v>96</v>
      </c>
      <c r="C20" s="938"/>
      <c r="D20" s="938"/>
      <c r="E20" s="938"/>
      <c r="F20" s="100" t="s">
        <v>164</v>
      </c>
      <c r="G20" s="120"/>
      <c r="H20" s="120"/>
      <c r="I20" s="120"/>
      <c r="J20" s="1532"/>
    </row>
    <row r="21" spans="1:10" ht="15" customHeight="1" x14ac:dyDescent="0.2">
      <c r="A21" s="147" t="s">
        <v>214</v>
      </c>
      <c r="B21" s="122" t="s">
        <v>257</v>
      </c>
      <c r="C21" s="938"/>
      <c r="D21" s="938"/>
      <c r="E21" s="938"/>
      <c r="F21" s="122" t="s">
        <v>165</v>
      </c>
      <c r="G21" s="120"/>
      <c r="H21" s="120"/>
      <c r="I21" s="120"/>
      <c r="J21" s="1532"/>
    </row>
    <row r="22" spans="1:10" ht="15" customHeight="1" x14ac:dyDescent="0.2">
      <c r="A22" s="147" t="s">
        <v>216</v>
      </c>
      <c r="B22" s="100" t="s">
        <v>92</v>
      </c>
      <c r="C22" s="938"/>
      <c r="D22" s="938"/>
      <c r="E22" s="938"/>
      <c r="F22" s="100" t="s">
        <v>174</v>
      </c>
      <c r="G22" s="120"/>
      <c r="H22" s="120"/>
      <c r="I22" s="120"/>
      <c r="J22" s="1532"/>
    </row>
    <row r="23" spans="1:10" ht="15" customHeight="1" x14ac:dyDescent="0.2">
      <c r="A23" s="147" t="s">
        <v>217</v>
      </c>
      <c r="B23" s="96" t="s">
        <v>98</v>
      </c>
      <c r="C23" s="938"/>
      <c r="D23" s="938"/>
      <c r="E23" s="938"/>
      <c r="F23" s="96" t="s">
        <v>168</v>
      </c>
      <c r="G23" s="120"/>
      <c r="H23" s="120"/>
      <c r="I23" s="120"/>
      <c r="J23" s="1532"/>
    </row>
    <row r="24" spans="1:10" ht="15" customHeight="1" x14ac:dyDescent="0.2">
      <c r="A24" s="147" t="s">
        <v>219</v>
      </c>
      <c r="B24" s="125"/>
      <c r="C24" s="938"/>
      <c r="D24" s="938"/>
      <c r="E24" s="938"/>
      <c r="F24" s="100" t="s">
        <v>177</v>
      </c>
      <c r="G24" s="120">
        <f>SUM('2. sz. mell '!D113)</f>
        <v>0</v>
      </c>
      <c r="H24" s="120">
        <f>SUM('2. sz. mell '!E113)</f>
        <v>0</v>
      </c>
      <c r="I24" s="120">
        <f>SUM('2. sz. mell '!F113)</f>
        <v>0</v>
      </c>
      <c r="J24" s="1532"/>
    </row>
    <row r="25" spans="1:10" ht="15" customHeight="1" x14ac:dyDescent="0.2">
      <c r="A25" s="147" t="s">
        <v>221</v>
      </c>
      <c r="B25" s="105"/>
      <c r="C25" s="938"/>
      <c r="D25" s="938"/>
      <c r="E25" s="938"/>
      <c r="F25" s="96"/>
      <c r="G25" s="120"/>
      <c r="H25" s="120"/>
      <c r="I25" s="120"/>
      <c r="J25" s="1532"/>
    </row>
    <row r="26" spans="1:10" ht="15" customHeight="1" x14ac:dyDescent="0.2">
      <c r="A26" s="151" t="s">
        <v>223</v>
      </c>
      <c r="B26" s="152"/>
      <c r="C26" s="939"/>
      <c r="D26" s="939"/>
      <c r="E26" s="939"/>
      <c r="F26" s="105"/>
      <c r="G26" s="130"/>
      <c r="H26" s="130"/>
      <c r="I26" s="130"/>
      <c r="J26" s="1532"/>
    </row>
    <row r="27" spans="1:10" ht="15.95" customHeight="1" thickBot="1" x14ac:dyDescent="0.25">
      <c r="A27" s="148" t="s">
        <v>224</v>
      </c>
      <c r="B27" s="109" t="s">
        <v>258</v>
      </c>
      <c r="C27" s="937">
        <f>SUM(C18:C26)</f>
        <v>0</v>
      </c>
      <c r="D27" s="937">
        <f>SUM(D18:D26)</f>
        <v>0</v>
      </c>
      <c r="E27" s="937">
        <f>SUM(E18:E26)</f>
        <v>0</v>
      </c>
      <c r="F27" s="109" t="s">
        <v>259</v>
      </c>
      <c r="G27" s="153">
        <f>SUM(G17:G26)</f>
        <v>64000</v>
      </c>
      <c r="H27" s="153" t="e">
        <f>SUM(H17:H26)</f>
        <v>#REF!</v>
      </c>
      <c r="I27" s="112" t="e">
        <f>SUM(I17:I26)</f>
        <v>#REF!</v>
      </c>
      <c r="J27" s="1532"/>
    </row>
    <row r="28" spans="1:10" ht="15.95" customHeight="1" thickBot="1" x14ac:dyDescent="0.25">
      <c r="A28" s="148" t="s">
        <v>226</v>
      </c>
      <c r="B28" s="109" t="s">
        <v>1381</v>
      </c>
      <c r="C28" s="937">
        <f>SUM('2. sz. mell '!D74)</f>
        <v>0</v>
      </c>
      <c r="D28" s="937">
        <f>SUM('2. sz. mell '!E74)</f>
        <v>0</v>
      </c>
      <c r="E28" s="110" t="e">
        <f>SUM('2. sz. mell '!F74)</f>
        <v>#REF!</v>
      </c>
      <c r="F28" s="109" t="s">
        <v>1382</v>
      </c>
      <c r="G28" s="153"/>
      <c r="H28" s="153"/>
      <c r="I28" s="112"/>
      <c r="J28" s="1532"/>
    </row>
    <row r="29" spans="1:10" ht="18" customHeight="1" thickBot="1" x14ac:dyDescent="0.25">
      <c r="A29" s="154" t="s">
        <v>226</v>
      </c>
      <c r="B29" s="132" t="s">
        <v>260</v>
      </c>
      <c r="C29" s="155">
        <f>+C16+C17+C27</f>
        <v>358195</v>
      </c>
      <c r="D29" s="155">
        <f>+D16+D17+D27</f>
        <v>0</v>
      </c>
      <c r="E29" s="155" t="e">
        <f>+E16+E17+E27+E28</f>
        <v>#REF!</v>
      </c>
      <c r="F29" s="132" t="s">
        <v>261</v>
      </c>
      <c r="G29" s="156">
        <f>+G16+G27</f>
        <v>405932</v>
      </c>
      <c r="H29" s="156" t="e">
        <f>+H16+H27</f>
        <v>#REF!</v>
      </c>
      <c r="I29" s="156" t="e">
        <f>+I16+I27+I28</f>
        <v>#REF!</v>
      </c>
      <c r="J29" s="1532"/>
    </row>
    <row r="30" spans="1:10" ht="18" customHeight="1" x14ac:dyDescent="0.2">
      <c r="A30" s="154" t="s">
        <v>227</v>
      </c>
      <c r="B30" s="157" t="s">
        <v>234</v>
      </c>
      <c r="C30" s="158" t="str">
        <f>IF(((G16-C16)&gt;0),G16-C16,"----")</f>
        <v>----</v>
      </c>
      <c r="D30" s="158" t="e">
        <f>IF(((H16-D16)&gt;0),H16-D16,"----")</f>
        <v>#REF!</v>
      </c>
      <c r="E30" s="158" t="e">
        <f>IF(((I16-E16)&gt;0),I16-E16,"----")</f>
        <v>#REF!</v>
      </c>
      <c r="F30" s="157" t="s">
        <v>235</v>
      </c>
      <c r="G30" s="159">
        <f>IF(((C16-G16)&gt;0),C16-G16,"----")</f>
        <v>16263</v>
      </c>
      <c r="H30" s="159" t="e">
        <f>IF(((D16-H16)&gt;0),D16-H16,"----")</f>
        <v>#REF!</v>
      </c>
      <c r="I30" s="159" t="e">
        <f>IF(((E16-I16)&gt;0),E16-I16,"----")</f>
        <v>#REF!</v>
      </c>
      <c r="J30" s="1532"/>
    </row>
    <row r="31" spans="1:10" x14ac:dyDescent="0.2">
      <c r="J31" s="160"/>
    </row>
    <row r="32" spans="1:10" x14ac:dyDescent="0.2">
      <c r="J32" s="160"/>
    </row>
    <row r="33" spans="2:10" ht="15.75" x14ac:dyDescent="0.2">
      <c r="B33" s="137"/>
      <c r="J33" s="160"/>
    </row>
  </sheetData>
  <sheetProtection selectLockedCells="1" selectUnlockedCells="1"/>
  <mergeCells count="6">
    <mergeCell ref="J1:J30"/>
    <mergeCell ref="G2:I2"/>
    <mergeCell ref="A3:A4"/>
    <mergeCell ref="B3:E3"/>
    <mergeCell ref="F3:I3"/>
    <mergeCell ref="A1:I1"/>
  </mergeCells>
  <printOptions horizontalCentered="1"/>
  <pageMargins left="0.23622047244094491" right="0.15748031496062992" top="0.47244094488188981" bottom="0.43307086614173229" header="0.19685039370078741" footer="0.19685039370078741"/>
  <pageSetup paperSize="9" firstPageNumber="43" orientation="landscape" useFirstPageNumber="1" horizontalDpi="300" verticalDpi="300" r:id="rId1"/>
  <headerFooter alignWithMargins="0">
    <oddHeader>&amp;R&amp;"Times New Roman ,Normál"&amp;12 1.2. sz. melléklet</oddHeader>
    <oddFooter>&amp;C- &amp;P 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Normal="120" workbookViewId="0">
      <selection activeCell="A11" sqref="A11"/>
    </sheetView>
  </sheetViews>
  <sheetFormatPr defaultRowHeight="15" x14ac:dyDescent="0.25"/>
  <cols>
    <col min="1" max="1" width="7.33203125" style="11" customWidth="1"/>
    <col min="2" max="2" width="38.33203125" style="11" customWidth="1"/>
    <col min="3" max="3" width="16" style="11" customWidth="1"/>
    <col min="4" max="4" width="15.83203125" style="11" customWidth="1"/>
    <col min="5" max="5" width="17.33203125" style="11" customWidth="1"/>
    <col min="6" max="6" width="16.83203125" style="11" customWidth="1"/>
    <col min="7" max="7" width="18.83203125" style="11" customWidth="1"/>
    <col min="8" max="16384" width="9.33203125" style="11"/>
  </cols>
  <sheetData>
    <row r="1" spans="1:8" ht="42.75" customHeight="1" x14ac:dyDescent="0.25">
      <c r="A1" s="1637" t="s">
        <v>1232</v>
      </c>
      <c r="B1" s="1637"/>
      <c r="C1" s="1637"/>
      <c r="D1" s="1637"/>
      <c r="E1" s="1637"/>
      <c r="F1" s="1637"/>
      <c r="G1" s="1637"/>
    </row>
    <row r="2" spans="1:8" ht="15.95" customHeight="1" x14ac:dyDescent="0.25">
      <c r="A2" s="746"/>
      <c r="B2" s="746"/>
      <c r="C2" s="746"/>
      <c r="D2" s="1638"/>
      <c r="E2" s="1638"/>
      <c r="F2" s="1639" t="s">
        <v>196</v>
      </c>
      <c r="G2" s="1639"/>
      <c r="H2" s="748"/>
    </row>
    <row r="3" spans="1:8" ht="63" customHeight="1" x14ac:dyDescent="0.25">
      <c r="A3" s="1640" t="s">
        <v>1233</v>
      </c>
      <c r="B3" s="1641" t="s">
        <v>1234</v>
      </c>
      <c r="C3" s="1642" t="s">
        <v>1235</v>
      </c>
      <c r="D3" s="1642"/>
      <c r="E3" s="1642"/>
      <c r="F3" s="1642"/>
      <c r="G3" s="1643" t="s">
        <v>1236</v>
      </c>
    </row>
    <row r="4" spans="1:8" ht="31.5" x14ac:dyDescent="0.25">
      <c r="A4" s="1640"/>
      <c r="B4" s="1641"/>
      <c r="C4" s="749" t="s">
        <v>1238</v>
      </c>
      <c r="D4" s="749" t="s">
        <v>1239</v>
      </c>
      <c r="E4" s="749" t="s">
        <v>1502</v>
      </c>
      <c r="F4" s="749" t="s">
        <v>1503</v>
      </c>
      <c r="G4" s="1643"/>
    </row>
    <row r="5" spans="1:8" x14ac:dyDescent="0.25">
      <c r="A5" s="750">
        <v>1</v>
      </c>
      <c r="B5" s="751">
        <v>2</v>
      </c>
      <c r="C5" s="751">
        <v>3</v>
      </c>
      <c r="D5" s="751">
        <v>4</v>
      </c>
      <c r="E5" s="751">
        <v>5</v>
      </c>
      <c r="F5" s="751">
        <v>6</v>
      </c>
      <c r="G5" s="752">
        <v>7</v>
      </c>
    </row>
    <row r="6" spans="1:8" ht="31.5" x14ac:dyDescent="0.25">
      <c r="A6" s="753" t="s">
        <v>5</v>
      </c>
      <c r="B6" s="754" t="s">
        <v>1240</v>
      </c>
      <c r="C6" s="755"/>
      <c r="D6" s="755"/>
      <c r="E6" s="755"/>
      <c r="F6" s="755"/>
      <c r="G6" s="756">
        <f t="shared" ref="G6:G11" si="0">SUM(C6:F6)</f>
        <v>0</v>
      </c>
    </row>
    <row r="7" spans="1:8" ht="31.5" x14ac:dyDescent="0.25">
      <c r="A7" s="757" t="s">
        <v>6</v>
      </c>
      <c r="B7" s="754" t="s">
        <v>1241</v>
      </c>
      <c r="C7" s="758"/>
      <c r="D7" s="758"/>
      <c r="E7" s="758"/>
      <c r="F7" s="758"/>
      <c r="G7" s="759">
        <f t="shared" si="0"/>
        <v>0</v>
      </c>
    </row>
    <row r="8" spans="1:8" ht="31.5" x14ac:dyDescent="0.25">
      <c r="A8" s="757" t="s">
        <v>20</v>
      </c>
      <c r="B8" s="760" t="s">
        <v>1242</v>
      </c>
      <c r="C8" s="758"/>
      <c r="D8" s="758"/>
      <c r="E8" s="758"/>
      <c r="F8" s="758"/>
      <c r="G8" s="759">
        <f t="shared" si="0"/>
        <v>0</v>
      </c>
    </row>
    <row r="9" spans="1:8" ht="31.5" x14ac:dyDescent="0.25">
      <c r="A9" s="757" t="s">
        <v>150</v>
      </c>
      <c r="B9" s="760" t="s">
        <v>1243</v>
      </c>
      <c r="C9" s="758"/>
      <c r="D9" s="758"/>
      <c r="E9" s="758"/>
      <c r="F9" s="758"/>
      <c r="G9" s="759">
        <f t="shared" si="0"/>
        <v>0</v>
      </c>
    </row>
    <row r="10" spans="1:8" ht="31.5" x14ac:dyDescent="0.25">
      <c r="A10" s="757" t="s">
        <v>39</v>
      </c>
      <c r="B10" s="760" t="s">
        <v>1244</v>
      </c>
      <c r="C10" s="758"/>
      <c r="D10" s="758"/>
      <c r="E10" s="758"/>
      <c r="F10" s="758"/>
      <c r="G10" s="759">
        <f t="shared" si="0"/>
        <v>0</v>
      </c>
    </row>
    <row r="11" spans="1:8" ht="21.75" customHeight="1" x14ac:dyDescent="0.25">
      <c r="A11" s="761"/>
      <c r="B11" s="762"/>
      <c r="C11" s="763"/>
      <c r="D11" s="763"/>
      <c r="E11" s="763"/>
      <c r="F11" s="763"/>
      <c r="G11" s="759">
        <f t="shared" si="0"/>
        <v>0</v>
      </c>
    </row>
    <row r="12" spans="1:8" ht="15.75" x14ac:dyDescent="0.25">
      <c r="A12" s="764"/>
      <c r="B12" s="765" t="s">
        <v>1245</v>
      </c>
      <c r="C12" s="766">
        <f>SUM(C6:C11)</f>
        <v>0</v>
      </c>
      <c r="D12" s="766">
        <f>SUM(D6:D10)</f>
        <v>0</v>
      </c>
      <c r="E12" s="766">
        <f>SUM(E6:E10)</f>
        <v>0</v>
      </c>
      <c r="F12" s="766">
        <f>SUM(F6:F10)</f>
        <v>0</v>
      </c>
      <c r="G12" s="767">
        <f>SUM(G6:G10)</f>
        <v>0</v>
      </c>
    </row>
  </sheetData>
  <sheetProtection selectLockedCells="1" selectUnlockedCells="1"/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39370078740157483" right="0.27559055118110237" top="0.74803149606299213" bottom="0.82677165354330717" header="0.43307086614173229" footer="0.31496062992125984"/>
  <pageSetup paperSize="9" firstPageNumber="98" orientation="landscape" useFirstPageNumber="1" horizontalDpi="300" verticalDpi="300" r:id="rId1"/>
  <headerFooter alignWithMargins="0">
    <oddHeader xml:space="preserve">&amp;R&amp;"Times New Roman,Normál"&amp;12 8.1.  sz. melléklet </oddHeader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BreakPreview" zoomScaleNormal="120" workbookViewId="0">
      <selection activeCell="C9" sqref="C9"/>
    </sheetView>
  </sheetViews>
  <sheetFormatPr defaultRowHeight="15" x14ac:dyDescent="0.25"/>
  <cols>
    <col min="1" max="1" width="7.1640625" style="11" customWidth="1"/>
    <col min="2" max="2" width="70.1640625" style="11" customWidth="1"/>
    <col min="3" max="3" width="15.1640625" style="11" customWidth="1"/>
    <col min="4" max="4" width="15" style="11" hidden="1" customWidth="1"/>
    <col min="5" max="16384" width="9.33203125" style="11"/>
  </cols>
  <sheetData>
    <row r="1" spans="1:4" ht="62.25" customHeight="1" x14ac:dyDescent="0.25">
      <c r="A1" s="1637" t="s">
        <v>1246</v>
      </c>
      <c r="B1" s="1637"/>
      <c r="C1" s="1637"/>
      <c r="D1" s="1637"/>
    </row>
    <row r="2" spans="1:4" ht="15.95" customHeight="1" thickBot="1" x14ac:dyDescent="0.3">
      <c r="A2" s="746"/>
      <c r="B2" s="746"/>
      <c r="D2" s="747" t="s">
        <v>1247</v>
      </c>
    </row>
    <row r="3" spans="1:4" ht="51" customHeight="1" thickBot="1" x14ac:dyDescent="0.3">
      <c r="A3" s="768" t="s">
        <v>1233</v>
      </c>
      <c r="B3" s="769" t="s">
        <v>1248</v>
      </c>
      <c r="C3" s="770" t="s">
        <v>1489</v>
      </c>
      <c r="D3" s="770" t="s">
        <v>1394</v>
      </c>
    </row>
    <row r="4" spans="1:4" ht="16.5" thickBot="1" x14ac:dyDescent="0.3">
      <c r="A4" s="771">
        <v>1</v>
      </c>
      <c r="B4" s="772">
        <v>2</v>
      </c>
      <c r="C4" s="773">
        <v>3</v>
      </c>
      <c r="D4" s="773">
        <v>3</v>
      </c>
    </row>
    <row r="5" spans="1:4" ht="15.75" x14ac:dyDescent="0.25">
      <c r="A5" s="774" t="s">
        <v>5</v>
      </c>
      <c r="B5" s="775" t="s">
        <v>8</v>
      </c>
      <c r="C5" s="932">
        <f>SUM('3.1.asz.melléklet'!E31+'3.1.asz.melléklet'!E32+'3.1.asz.melléklet'!E36)</f>
        <v>1515000</v>
      </c>
      <c r="D5" s="932">
        <f>SUM('3.1.asz.melléklet'!F31+'3.1.asz.melléklet'!F32+'3.1.asz.melléklet'!F36)</f>
        <v>0</v>
      </c>
    </row>
    <row r="6" spans="1:4" ht="15.75" x14ac:dyDescent="0.25">
      <c r="A6" s="776" t="s">
        <v>6</v>
      </c>
      <c r="B6" s="777" t="s">
        <v>1249</v>
      </c>
      <c r="C6" s="933">
        <f>SUM('3.1.asz.melléklet'!E117)</f>
        <v>0</v>
      </c>
      <c r="D6" s="933">
        <f>SUM('3.1.asz.melléklet'!F117)</f>
        <v>0</v>
      </c>
    </row>
    <row r="7" spans="1:4" ht="15.75" x14ac:dyDescent="0.25">
      <c r="A7" s="776" t="s">
        <v>20</v>
      </c>
      <c r="B7" s="777" t="s">
        <v>1250</v>
      </c>
      <c r="C7" s="933">
        <f>SUM('3.1.asz.melléklet'!E35)</f>
        <v>10000</v>
      </c>
      <c r="D7" s="933">
        <f>SUM('3.1.asz.melléklet'!F35)</f>
        <v>0</v>
      </c>
    </row>
    <row r="8" spans="1:4" ht="47.25" x14ac:dyDescent="0.25">
      <c r="A8" s="776" t="s">
        <v>150</v>
      </c>
      <c r="B8" s="778" t="s">
        <v>1251</v>
      </c>
      <c r="C8" s="933">
        <f>SUM('3.1.asz.melléklet'!E100)</f>
        <v>200000</v>
      </c>
      <c r="D8" s="933"/>
    </row>
    <row r="9" spans="1:4" ht="15.75" x14ac:dyDescent="0.25">
      <c r="A9" s="779" t="s">
        <v>39</v>
      </c>
      <c r="B9" s="780" t="s">
        <v>1252</v>
      </c>
      <c r="C9" s="934"/>
      <c r="D9" s="934"/>
    </row>
    <row r="10" spans="1:4" ht="15.75" x14ac:dyDescent="0.25">
      <c r="A10" s="776" t="s">
        <v>49</v>
      </c>
      <c r="B10" s="777" t="s">
        <v>1253</v>
      </c>
      <c r="C10" s="933"/>
      <c r="D10" s="933"/>
    </row>
    <row r="11" spans="1:4" ht="16.5" thickBot="1" x14ac:dyDescent="0.3">
      <c r="A11" s="779" t="s">
        <v>179</v>
      </c>
      <c r="B11" s="780" t="s">
        <v>272</v>
      </c>
      <c r="C11" s="934"/>
      <c r="D11" s="934"/>
    </row>
    <row r="12" spans="1:4" ht="16.5" thickBot="1" x14ac:dyDescent="0.3">
      <c r="A12" s="1644" t="s">
        <v>1254</v>
      </c>
      <c r="B12" s="1644"/>
      <c r="C12" s="935">
        <f>SUM(C5:C11)</f>
        <v>1725000</v>
      </c>
      <c r="D12" s="935">
        <f>SUM(D5:D11)</f>
        <v>0</v>
      </c>
    </row>
    <row r="13" spans="1:4" ht="23.25" customHeight="1" x14ac:dyDescent="0.25">
      <c r="A13" s="1645"/>
      <c r="B13" s="1645"/>
      <c r="C13" s="1645"/>
    </row>
  </sheetData>
  <sheetProtection selectLockedCells="1" selectUnlockedCells="1"/>
  <mergeCells count="3">
    <mergeCell ref="A12:B12"/>
    <mergeCell ref="A13:C13"/>
    <mergeCell ref="A1:D1"/>
  </mergeCells>
  <printOptions horizontalCentered="1"/>
  <pageMargins left="0.39370078740157483" right="0.27559055118110237" top="0.98425196850393704" bottom="0.98425196850393704" header="0.43307086614173229" footer="0.78740157480314965"/>
  <pageSetup paperSize="9" firstPageNumber="99" orientation="portrait" useFirstPageNumber="1" horizontalDpi="300" verticalDpi="300" r:id="rId1"/>
  <headerFooter alignWithMargins="0">
    <oddHeader>&amp;R&amp;"Times New Roman,Normál"&amp;12 8.2. sz. melléklet</oddHeader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view="pageBreakPreview" zoomScaleNormal="120" workbookViewId="0">
      <selection sqref="A1:C1"/>
    </sheetView>
  </sheetViews>
  <sheetFormatPr defaultRowHeight="15" x14ac:dyDescent="0.25"/>
  <cols>
    <col min="1" max="1" width="7.83203125" style="11" customWidth="1"/>
    <col min="2" max="2" width="66.83203125" style="11" customWidth="1"/>
    <col min="3" max="3" width="27" style="11" customWidth="1"/>
    <col min="4" max="16384" width="9.33203125" style="11"/>
  </cols>
  <sheetData>
    <row r="1" spans="1:4" ht="42" customHeight="1" x14ac:dyDescent="0.25">
      <c r="A1" s="1637" t="s">
        <v>1504</v>
      </c>
      <c r="B1" s="1637"/>
      <c r="C1" s="1637"/>
    </row>
    <row r="2" spans="1:4" ht="15.95" customHeight="1" x14ac:dyDescent="0.25">
      <c r="A2" s="746"/>
      <c r="B2" s="746"/>
      <c r="C2" s="747" t="s">
        <v>1247</v>
      </c>
      <c r="D2" s="748"/>
    </row>
    <row r="3" spans="1:4" ht="36" customHeight="1" x14ac:dyDescent="0.25">
      <c r="A3" s="768" t="s">
        <v>1233</v>
      </c>
      <c r="B3" s="769" t="s">
        <v>1255</v>
      </c>
      <c r="C3" s="770" t="s">
        <v>1256</v>
      </c>
    </row>
    <row r="4" spans="1:4" ht="15.75" x14ac:dyDescent="0.25">
      <c r="A4" s="771">
        <v>1</v>
      </c>
      <c r="B4" s="772">
        <v>2</v>
      </c>
      <c r="C4" s="773">
        <v>3</v>
      </c>
    </row>
    <row r="5" spans="1:4" ht="15.75" x14ac:dyDescent="0.25">
      <c r="A5" s="781" t="s">
        <v>5</v>
      </c>
      <c r="B5" s="782"/>
      <c r="C5" s="783"/>
    </row>
    <row r="6" spans="1:4" ht="15.75" x14ac:dyDescent="0.25">
      <c r="A6" s="784" t="s">
        <v>6</v>
      </c>
      <c r="B6" s="785"/>
      <c r="C6" s="786"/>
    </row>
    <row r="7" spans="1:4" ht="15.75" x14ac:dyDescent="0.25">
      <c r="A7" s="787" t="s">
        <v>20</v>
      </c>
      <c r="B7" s="788"/>
      <c r="C7" s="789"/>
    </row>
    <row r="8" spans="1:4" ht="30.75" customHeight="1" x14ac:dyDescent="0.25">
      <c r="A8" s="790" t="s">
        <v>150</v>
      </c>
      <c r="B8" s="791" t="s">
        <v>1257</v>
      </c>
      <c r="C8" s="792">
        <f>SUM(C5:C7)</f>
        <v>0</v>
      </c>
    </row>
  </sheetData>
  <sheetProtection selectLockedCells="1" selectUnlockedCells="1"/>
  <mergeCells count="1">
    <mergeCell ref="A1:C1"/>
  </mergeCells>
  <printOptions horizontalCentered="1"/>
  <pageMargins left="0.31496062992125984" right="0.39370078740157483" top="1.0629921259842521" bottom="0.98425196850393704" header="0.55118110236220474" footer="0.78740157480314965"/>
  <pageSetup paperSize="9" firstPageNumber="100" orientation="portrait" useFirstPageNumber="1" horizontalDpi="300" verticalDpi="300" r:id="rId1"/>
  <headerFooter alignWithMargins="0">
    <oddHeader>&amp;R&amp;"Times New Roman,Normál"&amp;12 8.3. sz. melléklet</oddHeader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view="pageBreakPreview" zoomScale="120" zoomScaleNormal="100" zoomScaleSheetLayoutView="120" workbookViewId="0">
      <selection activeCell="C53" sqref="C53"/>
    </sheetView>
  </sheetViews>
  <sheetFormatPr defaultRowHeight="12.75" x14ac:dyDescent="0.2"/>
  <cols>
    <col min="1" max="1" width="5" style="793" customWidth="1"/>
    <col min="2" max="2" width="8.5" style="793" customWidth="1"/>
    <col min="3" max="3" width="54.6640625" style="794" customWidth="1"/>
    <col min="4" max="4" width="15.5" style="795" customWidth="1"/>
    <col min="5" max="5" width="10.83203125" style="794" customWidth="1"/>
    <col min="6" max="6" width="15.5" style="796" customWidth="1"/>
    <col min="7" max="7" width="9.33203125" style="794"/>
    <col min="8" max="8" width="18.6640625" style="794" bestFit="1" customWidth="1"/>
    <col min="9" max="9" width="18.5" style="794" bestFit="1" customWidth="1"/>
    <col min="10" max="16384" width="9.33203125" style="794"/>
  </cols>
  <sheetData>
    <row r="1" spans="1:8" ht="15.75" customHeight="1" thickBot="1" x14ac:dyDescent="0.25">
      <c r="A1" s="1648" t="s">
        <v>1258</v>
      </c>
      <c r="B1" s="1649"/>
      <c r="C1" s="1649"/>
      <c r="D1" s="1652" t="s">
        <v>1619</v>
      </c>
      <c r="E1" s="1653"/>
      <c r="F1" s="1654"/>
    </row>
    <row r="2" spans="1:8" ht="24.75" thickBot="1" x14ac:dyDescent="0.25">
      <c r="A2" s="1650"/>
      <c r="B2" s="1651"/>
      <c r="C2" s="1651"/>
      <c r="D2" s="1101" t="s">
        <v>1620</v>
      </c>
      <c r="E2" s="1102" t="s">
        <v>1621</v>
      </c>
      <c r="F2" s="1103" t="s">
        <v>1259</v>
      </c>
    </row>
    <row r="3" spans="1:8" ht="21.75" customHeight="1" thickBot="1" x14ac:dyDescent="0.25">
      <c r="A3" s="1104" t="s">
        <v>965</v>
      </c>
      <c r="B3" s="1105"/>
      <c r="C3" s="1655" t="s">
        <v>1622</v>
      </c>
      <c r="D3" s="1655"/>
      <c r="E3" s="1655"/>
      <c r="F3" s="1656"/>
    </row>
    <row r="4" spans="1:8" s="797" customFormat="1" ht="36" customHeight="1" x14ac:dyDescent="0.25">
      <c r="A4" s="1106" t="s">
        <v>5</v>
      </c>
      <c r="B4" s="1107" t="s">
        <v>5</v>
      </c>
      <c r="C4" s="1108" t="s">
        <v>1623</v>
      </c>
      <c r="D4" s="1109"/>
      <c r="E4" s="1110"/>
      <c r="F4" s="1111">
        <f>SUM(F13)</f>
        <v>55009800</v>
      </c>
    </row>
    <row r="5" spans="1:8" s="797" customFormat="1" ht="14.1" customHeight="1" x14ac:dyDescent="0.25">
      <c r="A5" s="1112"/>
      <c r="B5" s="1113" t="s">
        <v>1624</v>
      </c>
      <c r="C5" s="1114" t="s">
        <v>1625</v>
      </c>
      <c r="D5" s="1115">
        <v>4580000</v>
      </c>
      <c r="E5" s="1116">
        <v>42.47</v>
      </c>
      <c r="F5" s="1117">
        <f>SUM(D5*E5)</f>
        <v>194512600</v>
      </c>
    </row>
    <row r="6" spans="1:8" ht="14.1" customHeight="1" x14ac:dyDescent="0.2">
      <c r="A6" s="1118"/>
      <c r="B6" s="1119" t="s">
        <v>1626</v>
      </c>
      <c r="C6" s="1120" t="s">
        <v>1627</v>
      </c>
      <c r="D6" s="1115"/>
      <c r="E6" s="1121"/>
      <c r="F6" s="1117"/>
    </row>
    <row r="7" spans="1:8" ht="14.1" customHeight="1" x14ac:dyDescent="0.2">
      <c r="A7" s="1118"/>
      <c r="B7" s="798" t="s">
        <v>1628</v>
      </c>
      <c r="C7" s="1122" t="s">
        <v>1629</v>
      </c>
      <c r="D7" s="1123"/>
      <c r="E7" s="1124"/>
      <c r="F7" s="1117">
        <v>15854284</v>
      </c>
    </row>
    <row r="8" spans="1:8" ht="30" customHeight="1" x14ac:dyDescent="0.2">
      <c r="A8" s="1118"/>
      <c r="B8" s="1125" t="s">
        <v>1630</v>
      </c>
      <c r="C8" s="1122" t="s">
        <v>1631</v>
      </c>
      <c r="D8" s="1123"/>
      <c r="E8" s="1124"/>
      <c r="F8" s="1117">
        <v>38345965</v>
      </c>
    </row>
    <row r="9" spans="1:8" ht="14.1" customHeight="1" x14ac:dyDescent="0.2">
      <c r="A9" s="1118"/>
      <c r="B9" s="1125" t="s">
        <v>1632</v>
      </c>
      <c r="C9" s="1122" t="s">
        <v>1633</v>
      </c>
      <c r="D9" s="1123">
        <v>43</v>
      </c>
      <c r="E9" s="1126">
        <v>70687</v>
      </c>
      <c r="F9" s="1117">
        <f>SUM(D9*E9)</f>
        <v>3039541</v>
      </c>
    </row>
    <row r="10" spans="1:8" ht="14.1" customHeight="1" x14ac:dyDescent="0.2">
      <c r="A10" s="1118"/>
      <c r="B10" s="1127" t="s">
        <v>1634</v>
      </c>
      <c r="C10" s="1128" t="s">
        <v>1635</v>
      </c>
      <c r="D10" s="1129"/>
      <c r="E10" s="1124"/>
      <c r="F10" s="1117">
        <v>25927619</v>
      </c>
    </row>
    <row r="11" spans="1:8" ht="14.1" customHeight="1" x14ac:dyDescent="0.2">
      <c r="A11" s="1118"/>
      <c r="B11" s="1127"/>
      <c r="C11" s="1128"/>
      <c r="D11" s="1129"/>
      <c r="E11" s="1124"/>
      <c r="F11" s="1117">
        <f>SUM(F5:F10)</f>
        <v>277680009</v>
      </c>
    </row>
    <row r="12" spans="1:8" ht="14.1" customHeight="1" x14ac:dyDescent="0.2">
      <c r="A12" s="1118"/>
      <c r="B12" s="1125" t="s">
        <v>1636</v>
      </c>
      <c r="C12" s="1130" t="s">
        <v>1637</v>
      </c>
      <c r="D12" s="1129"/>
      <c r="E12" s="1124"/>
      <c r="F12" s="1117">
        <v>-366248010</v>
      </c>
    </row>
    <row r="13" spans="1:8" ht="14.1" customHeight="1" thickBot="1" x14ac:dyDescent="0.25">
      <c r="A13" s="1118"/>
      <c r="B13" s="1125" t="s">
        <v>1638</v>
      </c>
      <c r="C13" s="1130" t="s">
        <v>1639</v>
      </c>
      <c r="D13" s="1129">
        <v>2700</v>
      </c>
      <c r="E13" s="1124">
        <v>20374</v>
      </c>
      <c r="F13" s="1117">
        <f>SUM(D13*E13)</f>
        <v>55009800</v>
      </c>
      <c r="H13" s="799"/>
    </row>
    <row r="14" spans="1:8" ht="27.75" customHeight="1" x14ac:dyDescent="0.2">
      <c r="A14" s="1131" t="s">
        <v>1263</v>
      </c>
      <c r="B14" s="1132"/>
      <c r="C14" s="1133" t="s">
        <v>1640</v>
      </c>
      <c r="D14" s="1134"/>
      <c r="E14" s="1133"/>
      <c r="F14" s="1135">
        <f>SUM(F15+F22+F25)</f>
        <v>290540000</v>
      </c>
      <c r="H14" s="799"/>
    </row>
    <row r="15" spans="1:8" ht="14.1" customHeight="1" x14ac:dyDescent="0.2">
      <c r="A15" s="1136" t="s">
        <v>5</v>
      </c>
      <c r="B15" s="1137" t="s">
        <v>5</v>
      </c>
      <c r="C15" s="1138" t="s">
        <v>1641</v>
      </c>
      <c r="D15" s="1139"/>
      <c r="E15" s="1139"/>
      <c r="F15" s="1139">
        <f>SUM(F16+F19)</f>
        <v>211952000</v>
      </c>
      <c r="H15" s="799"/>
    </row>
    <row r="16" spans="1:8" ht="14.1" customHeight="1" x14ac:dyDescent="0.2">
      <c r="A16" s="1118"/>
      <c r="B16" s="1125"/>
      <c r="C16" s="1130" t="s">
        <v>1642</v>
      </c>
      <c r="D16" s="1129"/>
      <c r="E16" s="1140"/>
      <c r="F16" s="1117">
        <f>SUM(F17:F18)</f>
        <v>168976000</v>
      </c>
      <c r="H16" s="799"/>
    </row>
    <row r="17" spans="1:8" ht="14.1" customHeight="1" x14ac:dyDescent="0.2">
      <c r="A17" s="1118"/>
      <c r="B17" s="1125"/>
      <c r="C17" s="1141" t="s">
        <v>1643</v>
      </c>
      <c r="D17" s="1142">
        <v>2832000</v>
      </c>
      <c r="E17" s="1143">
        <v>60</v>
      </c>
      <c r="F17" s="1144">
        <f>D17*E17/12*8</f>
        <v>113280000</v>
      </c>
      <c r="H17" s="799"/>
    </row>
    <row r="18" spans="1:8" ht="14.1" customHeight="1" x14ac:dyDescent="0.2">
      <c r="A18" s="1118"/>
      <c r="B18" s="1125"/>
      <c r="C18" s="1141" t="s">
        <v>1644</v>
      </c>
      <c r="D18" s="1142">
        <v>2832000</v>
      </c>
      <c r="E18" s="1143">
        <v>59</v>
      </c>
      <c r="F18" s="1144">
        <f>D18*E18/12*4</f>
        <v>55696000</v>
      </c>
      <c r="H18" s="799"/>
    </row>
    <row r="19" spans="1:8" ht="24" customHeight="1" x14ac:dyDescent="0.2">
      <c r="A19" s="1118"/>
      <c r="B19" s="1125"/>
      <c r="C19" s="1130" t="s">
        <v>1645</v>
      </c>
      <c r="D19" s="1129"/>
      <c r="E19" s="1140"/>
      <c r="F19" s="1117">
        <f>SUM(F20:F21)</f>
        <v>42976000</v>
      </c>
      <c r="H19" s="799"/>
    </row>
    <row r="20" spans="1:8" ht="14.1" customHeight="1" x14ac:dyDescent="0.2">
      <c r="A20" s="1118"/>
      <c r="B20" s="1125"/>
      <c r="C20" s="1141" t="s">
        <v>1643</v>
      </c>
      <c r="D20" s="1142">
        <v>1632000</v>
      </c>
      <c r="E20" s="1143">
        <v>25</v>
      </c>
      <c r="F20" s="1144">
        <f>D20*E20/12*8</f>
        <v>27200000</v>
      </c>
      <c r="H20" s="799"/>
    </row>
    <row r="21" spans="1:8" ht="14.1" customHeight="1" x14ac:dyDescent="0.2">
      <c r="A21" s="1118"/>
      <c r="B21" s="1125"/>
      <c r="C21" s="1141" t="s">
        <v>1644</v>
      </c>
      <c r="D21" s="1142">
        <v>1632000</v>
      </c>
      <c r="E21" s="1143">
        <v>29</v>
      </c>
      <c r="F21" s="1144">
        <f>D21*E21/12*4</f>
        <v>15776000</v>
      </c>
      <c r="H21" s="799"/>
    </row>
    <row r="22" spans="1:8" ht="18" customHeight="1" x14ac:dyDescent="0.2">
      <c r="A22" s="1136" t="s">
        <v>6</v>
      </c>
      <c r="B22" s="1137" t="s">
        <v>6</v>
      </c>
      <c r="C22" s="1138" t="s">
        <v>1646</v>
      </c>
      <c r="D22" s="1139"/>
      <c r="E22" s="1145"/>
      <c r="F22" s="1146">
        <f>SUM(F23:F24)</f>
        <v>37584000</v>
      </c>
      <c r="H22" s="799"/>
    </row>
    <row r="23" spans="1:8" ht="14.1" customHeight="1" x14ac:dyDescent="0.2">
      <c r="A23" s="1118"/>
      <c r="B23" s="1125"/>
      <c r="C23" s="1141" t="s">
        <v>1643</v>
      </c>
      <c r="D23" s="1142">
        <v>54000</v>
      </c>
      <c r="E23" s="1143">
        <v>701</v>
      </c>
      <c r="F23" s="1144">
        <f>D23*E23/12*8</f>
        <v>25236000</v>
      </c>
      <c r="H23" s="799"/>
    </row>
    <row r="24" spans="1:8" ht="14.1" customHeight="1" x14ac:dyDescent="0.2">
      <c r="A24" s="1118"/>
      <c r="B24" s="1125"/>
      <c r="C24" s="1141" t="s">
        <v>1644</v>
      </c>
      <c r="D24" s="1142">
        <v>54000</v>
      </c>
      <c r="E24" s="1143">
        <v>686</v>
      </c>
      <c r="F24" s="1144">
        <f>D24*E24/12*4</f>
        <v>12348000</v>
      </c>
      <c r="H24" s="799"/>
    </row>
    <row r="25" spans="1:8" ht="18" customHeight="1" x14ac:dyDescent="0.2">
      <c r="A25" s="1118"/>
      <c r="B25" s="1137" t="s">
        <v>20</v>
      </c>
      <c r="C25" s="1138" t="s">
        <v>1647</v>
      </c>
      <c r="D25" s="1139">
        <f>SUM(D26:D27)</f>
        <v>204000</v>
      </c>
      <c r="E25" s="1139">
        <f>SUM(E26:E27)</f>
        <v>402</v>
      </c>
      <c r="F25" s="1139">
        <f>SUM(F26:F27)</f>
        <v>41004000</v>
      </c>
      <c r="H25" s="799"/>
    </row>
    <row r="26" spans="1:8" ht="18" customHeight="1" x14ac:dyDescent="0.2">
      <c r="A26" s="1118"/>
      <c r="B26" s="1125" t="s">
        <v>1648</v>
      </c>
      <c r="C26" s="1130" t="s">
        <v>1265</v>
      </c>
      <c r="D26" s="1129">
        <v>102000</v>
      </c>
      <c r="E26" s="1147">
        <v>1</v>
      </c>
      <c r="F26" s="1117">
        <f>SUM(D26*E26)</f>
        <v>102000</v>
      </c>
      <c r="H26" s="799"/>
    </row>
    <row r="27" spans="1:8" ht="18" customHeight="1" x14ac:dyDescent="0.2">
      <c r="A27" s="1118"/>
      <c r="B27" s="1125" t="s">
        <v>1649</v>
      </c>
      <c r="C27" s="1130" t="s">
        <v>1264</v>
      </c>
      <c r="D27" s="1129">
        <v>102000</v>
      </c>
      <c r="E27" s="1147">
        <v>401</v>
      </c>
      <c r="F27" s="1117">
        <f>SUM(D27*E27)</f>
        <v>40902000</v>
      </c>
      <c r="H27" s="799"/>
    </row>
    <row r="28" spans="1:8" ht="24.75" customHeight="1" x14ac:dyDescent="0.2">
      <c r="A28" s="1136" t="s">
        <v>1266</v>
      </c>
      <c r="B28" s="1125"/>
      <c r="C28" s="1148" t="s">
        <v>1650</v>
      </c>
      <c r="D28" s="1129"/>
      <c r="E28" s="1147"/>
      <c r="F28" s="1149">
        <f>SUM(F29+F30+F31)</f>
        <v>148865214</v>
      </c>
      <c r="H28" s="799"/>
    </row>
    <row r="29" spans="1:8" ht="19.5" customHeight="1" x14ac:dyDescent="0.2">
      <c r="A29" s="1136"/>
      <c r="B29" s="1137" t="s">
        <v>5</v>
      </c>
      <c r="C29" s="1138" t="s">
        <v>1651</v>
      </c>
      <c r="D29" s="1129"/>
      <c r="E29" s="1147"/>
      <c r="F29" s="1117"/>
      <c r="H29" s="799"/>
    </row>
    <row r="30" spans="1:8" ht="17.25" customHeight="1" x14ac:dyDescent="0.2">
      <c r="A30" s="1136"/>
      <c r="B30" s="1137" t="s">
        <v>6</v>
      </c>
      <c r="C30" s="1138" t="s">
        <v>1652</v>
      </c>
      <c r="D30" s="1129"/>
      <c r="E30" s="1147"/>
      <c r="F30" s="1146">
        <v>35354004</v>
      </c>
      <c r="H30" s="799"/>
    </row>
    <row r="31" spans="1:8" ht="17.25" customHeight="1" x14ac:dyDescent="0.2">
      <c r="A31" s="1136"/>
      <c r="B31" s="1137" t="s">
        <v>1653</v>
      </c>
      <c r="C31" s="1138" t="s">
        <v>1654</v>
      </c>
      <c r="D31" s="1139"/>
      <c r="E31" s="1139"/>
      <c r="F31" s="1139">
        <f>SUM(F32:F39)</f>
        <v>113511210</v>
      </c>
      <c r="H31" s="799"/>
    </row>
    <row r="32" spans="1:8" ht="17.25" customHeight="1" x14ac:dyDescent="0.2">
      <c r="A32" s="1136"/>
      <c r="B32" s="1150" t="s">
        <v>1655</v>
      </c>
      <c r="C32" s="1151" t="s">
        <v>1656</v>
      </c>
      <c r="D32" s="1129">
        <v>790</v>
      </c>
      <c r="E32" s="1147">
        <v>52229</v>
      </c>
      <c r="F32" s="1117">
        <f>SUM(D32*E32)</f>
        <v>41260910</v>
      </c>
      <c r="H32" s="799"/>
    </row>
    <row r="33" spans="1:8" ht="17.25" customHeight="1" x14ac:dyDescent="0.2">
      <c r="A33" s="1136"/>
      <c r="B33" s="1150" t="s">
        <v>1657</v>
      </c>
      <c r="C33" s="1151" t="s">
        <v>1658</v>
      </c>
      <c r="D33" s="1129">
        <v>300</v>
      </c>
      <c r="E33" s="1147">
        <v>52229</v>
      </c>
      <c r="F33" s="1117">
        <f>SUM(D33*E33)</f>
        <v>15668700</v>
      </c>
      <c r="H33" s="799"/>
    </row>
    <row r="34" spans="1:8" ht="17.25" customHeight="1" x14ac:dyDescent="0.2">
      <c r="A34" s="1136"/>
      <c r="B34" s="1150" t="s">
        <v>1659</v>
      </c>
      <c r="C34" s="1151" t="s">
        <v>1660</v>
      </c>
      <c r="D34" s="1129">
        <v>300</v>
      </c>
      <c r="E34" s="1147">
        <v>52229</v>
      </c>
      <c r="F34" s="1117">
        <f>SUM(D34*E34)</f>
        <v>15668700</v>
      </c>
      <c r="H34" s="799"/>
    </row>
    <row r="35" spans="1:8" ht="17.25" customHeight="1" x14ac:dyDescent="0.2">
      <c r="A35" s="1136"/>
      <c r="B35" s="1150" t="s">
        <v>1661</v>
      </c>
      <c r="C35" s="1130" t="s">
        <v>1261</v>
      </c>
      <c r="D35" s="1129">
        <v>55360</v>
      </c>
      <c r="E35" s="1147">
        <v>160</v>
      </c>
      <c r="F35" s="1117">
        <f>SUM(D35*E35)</f>
        <v>8857600</v>
      </c>
      <c r="H35" s="799"/>
    </row>
    <row r="36" spans="1:8" ht="17.25" customHeight="1" x14ac:dyDescent="0.2">
      <c r="A36" s="1136"/>
      <c r="B36" s="1150" t="s">
        <v>1662</v>
      </c>
      <c r="C36" s="1130" t="s">
        <v>941</v>
      </c>
      <c r="D36" s="1129"/>
      <c r="E36" s="1147"/>
      <c r="F36" s="1117"/>
      <c r="H36" s="799"/>
    </row>
    <row r="37" spans="1:8" ht="24.75" customHeight="1" x14ac:dyDescent="0.2">
      <c r="A37" s="1136"/>
      <c r="B37" s="1150" t="s">
        <v>1663</v>
      </c>
      <c r="C37" s="1130" t="s">
        <v>1664</v>
      </c>
      <c r="D37" s="1129">
        <v>163500</v>
      </c>
      <c r="E37" s="1147">
        <v>51</v>
      </c>
      <c r="F37" s="1117">
        <f>SUM(D37*E37)</f>
        <v>8338500</v>
      </c>
      <c r="H37" s="799"/>
    </row>
    <row r="38" spans="1:8" ht="17.25" customHeight="1" x14ac:dyDescent="0.2">
      <c r="A38" s="1136"/>
      <c r="B38" s="1150" t="s">
        <v>1665</v>
      </c>
      <c r="C38" s="1130" t="s">
        <v>1262</v>
      </c>
      <c r="D38" s="1129"/>
      <c r="E38" s="1147"/>
      <c r="F38" s="1117"/>
      <c r="H38" s="799"/>
    </row>
    <row r="39" spans="1:8" ht="17.25" customHeight="1" x14ac:dyDescent="0.2">
      <c r="A39" s="1136"/>
      <c r="B39" s="1150" t="s">
        <v>1666</v>
      </c>
      <c r="C39" s="1130" t="s">
        <v>1667</v>
      </c>
      <c r="D39" s="1129">
        <v>494100</v>
      </c>
      <c r="E39" s="1147">
        <v>48</v>
      </c>
      <c r="F39" s="1117">
        <f>SUM(D39*E39)</f>
        <v>23716800</v>
      </c>
      <c r="H39" s="799"/>
    </row>
    <row r="40" spans="1:8" ht="27.75" customHeight="1" x14ac:dyDescent="0.2">
      <c r="A40" s="1136" t="s">
        <v>1267</v>
      </c>
      <c r="B40" s="1150"/>
      <c r="C40" s="1148" t="s">
        <v>1668</v>
      </c>
      <c r="D40" s="1129"/>
      <c r="E40" s="1147"/>
      <c r="F40" s="1149">
        <f>SUM(F41)</f>
        <v>23226360</v>
      </c>
      <c r="H40" s="799"/>
    </row>
    <row r="41" spans="1:8" ht="27.75" customHeight="1" x14ac:dyDescent="0.2">
      <c r="A41" s="1136"/>
      <c r="B41" s="1137" t="s">
        <v>5</v>
      </c>
      <c r="C41" s="1138" t="s">
        <v>1669</v>
      </c>
      <c r="D41" s="1129"/>
      <c r="E41" s="1147"/>
      <c r="F41" s="1146">
        <f>SUM(F42)</f>
        <v>23226360</v>
      </c>
      <c r="H41" s="799"/>
    </row>
    <row r="42" spans="1:8" ht="27.75" customHeight="1" x14ac:dyDescent="0.2">
      <c r="A42" s="1136"/>
      <c r="B42" s="1150" t="s">
        <v>1670</v>
      </c>
      <c r="C42" s="1151" t="s">
        <v>1671</v>
      </c>
      <c r="D42" s="1123">
        <v>1140</v>
      </c>
      <c r="E42" s="1147">
        <v>20374</v>
      </c>
      <c r="F42" s="1117">
        <f>SUM(D42*E42)</f>
        <v>23226360</v>
      </c>
      <c r="H42" s="799"/>
    </row>
    <row r="43" spans="1:8" ht="33.75" customHeight="1" x14ac:dyDescent="0.2">
      <c r="A43" s="1136"/>
      <c r="B43" s="1152"/>
      <c r="C43" s="1152" t="s">
        <v>1672</v>
      </c>
      <c r="D43" s="1153"/>
      <c r="E43" s="1147"/>
      <c r="F43" s="1154">
        <f>SUM(F40+F28+F14+F4)</f>
        <v>517641374</v>
      </c>
      <c r="H43" s="799"/>
    </row>
    <row r="44" spans="1:8" ht="27.75" customHeight="1" x14ac:dyDescent="0.2">
      <c r="A44" s="1136"/>
      <c r="B44" s="1150"/>
      <c r="C44" s="1148" t="s">
        <v>43</v>
      </c>
      <c r="D44" s="1153"/>
      <c r="E44" s="1147"/>
      <c r="F44" s="1154">
        <f>SUM(F45:F46)</f>
        <v>9028699</v>
      </c>
      <c r="H44" s="799"/>
    </row>
    <row r="45" spans="1:8" ht="21" customHeight="1" x14ac:dyDescent="0.2">
      <c r="A45" s="1136"/>
      <c r="B45" s="1150" t="s">
        <v>212</v>
      </c>
      <c r="C45" s="1138" t="s">
        <v>1673</v>
      </c>
      <c r="D45" s="1153"/>
      <c r="E45" s="1147"/>
      <c r="F45" s="1155">
        <v>8803500</v>
      </c>
      <c r="H45" s="799"/>
    </row>
    <row r="46" spans="1:8" s="797" customFormat="1" ht="21.75" customHeight="1" thickBot="1" x14ac:dyDescent="0.3">
      <c r="A46" s="1112"/>
      <c r="B46" s="1150" t="s">
        <v>216</v>
      </c>
      <c r="C46" s="1138" t="s">
        <v>1260</v>
      </c>
      <c r="D46" s="1121"/>
      <c r="E46" s="1156"/>
      <c r="F46" s="1155">
        <v>225199</v>
      </c>
    </row>
    <row r="47" spans="1:8" ht="27" customHeight="1" thickBot="1" x14ac:dyDescent="0.3">
      <c r="A47" s="1657" t="s">
        <v>1674</v>
      </c>
      <c r="B47" s="1658"/>
      <c r="C47" s="1658"/>
      <c r="D47" s="1659"/>
      <c r="E47" s="1660">
        <f>SUM(F46+F40+F28+F14+F4+F45)</f>
        <v>526670073</v>
      </c>
      <c r="F47" s="1661"/>
    </row>
    <row r="48" spans="1:8" ht="14.1" customHeight="1" thickBot="1" x14ac:dyDescent="0.25">
      <c r="A48" s="1157"/>
      <c r="B48" s="1158"/>
      <c r="C48" s="1158"/>
      <c r="D48" s="1159"/>
      <c r="E48" s="1662"/>
      <c r="F48" s="1663"/>
    </row>
    <row r="49" spans="5:8" x14ac:dyDescent="0.2">
      <c r="H49" s="1160"/>
    </row>
    <row r="51" spans="5:8" x14ac:dyDescent="0.2">
      <c r="E51" s="1646"/>
      <c r="F51" s="1646"/>
    </row>
    <row r="53" spans="5:8" ht="15" customHeight="1" x14ac:dyDescent="0.2">
      <c r="E53" s="1647"/>
      <c r="F53" s="1647"/>
    </row>
    <row r="55" spans="5:8" x14ac:dyDescent="0.2">
      <c r="F55" s="796">
        <f>SUM(E53-E51)</f>
        <v>0</v>
      </c>
    </row>
  </sheetData>
  <mergeCells count="8">
    <mergeCell ref="E51:F51"/>
    <mergeCell ref="E53:F53"/>
    <mergeCell ref="A1:C2"/>
    <mergeCell ref="D1:F1"/>
    <mergeCell ref="C3:F3"/>
    <mergeCell ref="A47:D47"/>
    <mergeCell ref="E47:F47"/>
    <mergeCell ref="E48:F48"/>
  </mergeCells>
  <pageMargins left="0.15748031496062992" right="0" top="1.1811023622047245" bottom="0.55118110236220474" header="0.35433070866141736" footer="0.23622047244094491"/>
  <pageSetup paperSize="9" scale="97" firstPageNumber="101" orientation="portrait" useFirstPageNumber="1" horizontalDpi="300" verticalDpi="300" r:id="rId1"/>
  <headerFooter alignWithMargins="0">
    <oddHeader xml:space="preserve">&amp;C&amp;"Times New Roman,Félkövér"&amp;14
Vecsés Város Önkormányzat 2013. évi költségvetési működési támogatásának alakulása jogcímenként&amp;R&amp;"Arial,Normál"9. számú melléklet&amp;"Times New Roman CE,Normál"
</oddHeader>
    <oddFooter>&amp;C- &amp;P -</oddFooter>
  </headerFooter>
  <rowBreaks count="1" manualBreakCount="1">
    <brk id="39" max="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9"/>
  <sheetViews>
    <sheetView workbookViewId="0">
      <selection activeCell="B22" sqref="B22"/>
    </sheetView>
  </sheetViews>
  <sheetFormatPr defaultRowHeight="12.75" x14ac:dyDescent="0.2"/>
  <cols>
    <col min="1" max="1" width="54.6640625" style="1340" customWidth="1"/>
    <col min="2" max="2" width="22.1640625" style="1340" customWidth="1"/>
    <col min="3" max="3" width="19.6640625" style="1340" customWidth="1"/>
    <col min="4" max="256" width="9.33203125" style="1340"/>
    <col min="257" max="257" width="54.6640625" style="1340" customWidth="1"/>
    <col min="258" max="258" width="22.1640625" style="1340" customWidth="1"/>
    <col min="259" max="259" width="19.6640625" style="1340" customWidth="1"/>
    <col min="260" max="512" width="9.33203125" style="1340"/>
    <col min="513" max="513" width="54.6640625" style="1340" customWidth="1"/>
    <col min="514" max="514" width="22.1640625" style="1340" customWidth="1"/>
    <col min="515" max="515" width="19.6640625" style="1340" customWidth="1"/>
    <col min="516" max="768" width="9.33203125" style="1340"/>
    <col min="769" max="769" width="54.6640625" style="1340" customWidth="1"/>
    <col min="770" max="770" width="22.1640625" style="1340" customWidth="1"/>
    <col min="771" max="771" width="19.6640625" style="1340" customWidth="1"/>
    <col min="772" max="1024" width="9.33203125" style="1340"/>
    <col min="1025" max="1025" width="54.6640625" style="1340" customWidth="1"/>
    <col min="1026" max="1026" width="22.1640625" style="1340" customWidth="1"/>
    <col min="1027" max="1027" width="19.6640625" style="1340" customWidth="1"/>
    <col min="1028" max="1280" width="9.33203125" style="1340"/>
    <col min="1281" max="1281" width="54.6640625" style="1340" customWidth="1"/>
    <col min="1282" max="1282" width="22.1640625" style="1340" customWidth="1"/>
    <col min="1283" max="1283" width="19.6640625" style="1340" customWidth="1"/>
    <col min="1284" max="1536" width="9.33203125" style="1340"/>
    <col min="1537" max="1537" width="54.6640625" style="1340" customWidth="1"/>
    <col min="1538" max="1538" width="22.1640625" style="1340" customWidth="1"/>
    <col min="1539" max="1539" width="19.6640625" style="1340" customWidth="1"/>
    <col min="1540" max="1792" width="9.33203125" style="1340"/>
    <col min="1793" max="1793" width="54.6640625" style="1340" customWidth="1"/>
    <col min="1794" max="1794" width="22.1640625" style="1340" customWidth="1"/>
    <col min="1795" max="1795" width="19.6640625" style="1340" customWidth="1"/>
    <col min="1796" max="2048" width="9.33203125" style="1340"/>
    <col min="2049" max="2049" width="54.6640625" style="1340" customWidth="1"/>
    <col min="2050" max="2050" width="22.1640625" style="1340" customWidth="1"/>
    <col min="2051" max="2051" width="19.6640625" style="1340" customWidth="1"/>
    <col min="2052" max="2304" width="9.33203125" style="1340"/>
    <col min="2305" max="2305" width="54.6640625" style="1340" customWidth="1"/>
    <col min="2306" max="2306" width="22.1640625" style="1340" customWidth="1"/>
    <col min="2307" max="2307" width="19.6640625" style="1340" customWidth="1"/>
    <col min="2308" max="2560" width="9.33203125" style="1340"/>
    <col min="2561" max="2561" width="54.6640625" style="1340" customWidth="1"/>
    <col min="2562" max="2562" width="22.1640625" style="1340" customWidth="1"/>
    <col min="2563" max="2563" width="19.6640625" style="1340" customWidth="1"/>
    <col min="2564" max="2816" width="9.33203125" style="1340"/>
    <col min="2817" max="2817" width="54.6640625" style="1340" customWidth="1"/>
    <col min="2818" max="2818" width="22.1640625" style="1340" customWidth="1"/>
    <col min="2819" max="2819" width="19.6640625" style="1340" customWidth="1"/>
    <col min="2820" max="3072" width="9.33203125" style="1340"/>
    <col min="3073" max="3073" width="54.6640625" style="1340" customWidth="1"/>
    <col min="3074" max="3074" width="22.1640625" style="1340" customWidth="1"/>
    <col min="3075" max="3075" width="19.6640625" style="1340" customWidth="1"/>
    <col min="3076" max="3328" width="9.33203125" style="1340"/>
    <col min="3329" max="3329" width="54.6640625" style="1340" customWidth="1"/>
    <col min="3330" max="3330" width="22.1640625" style="1340" customWidth="1"/>
    <col min="3331" max="3331" width="19.6640625" style="1340" customWidth="1"/>
    <col min="3332" max="3584" width="9.33203125" style="1340"/>
    <col min="3585" max="3585" width="54.6640625" style="1340" customWidth="1"/>
    <col min="3586" max="3586" width="22.1640625" style="1340" customWidth="1"/>
    <col min="3587" max="3587" width="19.6640625" style="1340" customWidth="1"/>
    <col min="3588" max="3840" width="9.33203125" style="1340"/>
    <col min="3841" max="3841" width="54.6640625" style="1340" customWidth="1"/>
    <col min="3842" max="3842" width="22.1640625" style="1340" customWidth="1"/>
    <col min="3843" max="3843" width="19.6640625" style="1340" customWidth="1"/>
    <col min="3844" max="4096" width="9.33203125" style="1340"/>
    <col min="4097" max="4097" width="54.6640625" style="1340" customWidth="1"/>
    <col min="4098" max="4098" width="22.1640625" style="1340" customWidth="1"/>
    <col min="4099" max="4099" width="19.6640625" style="1340" customWidth="1"/>
    <col min="4100" max="4352" width="9.33203125" style="1340"/>
    <col min="4353" max="4353" width="54.6640625" style="1340" customWidth="1"/>
    <col min="4354" max="4354" width="22.1640625" style="1340" customWidth="1"/>
    <col min="4355" max="4355" width="19.6640625" style="1340" customWidth="1"/>
    <col min="4356" max="4608" width="9.33203125" style="1340"/>
    <col min="4609" max="4609" width="54.6640625" style="1340" customWidth="1"/>
    <col min="4610" max="4610" width="22.1640625" style="1340" customWidth="1"/>
    <col min="4611" max="4611" width="19.6640625" style="1340" customWidth="1"/>
    <col min="4612" max="4864" width="9.33203125" style="1340"/>
    <col min="4865" max="4865" width="54.6640625" style="1340" customWidth="1"/>
    <col min="4866" max="4866" width="22.1640625" style="1340" customWidth="1"/>
    <col min="4867" max="4867" width="19.6640625" style="1340" customWidth="1"/>
    <col min="4868" max="5120" width="9.33203125" style="1340"/>
    <col min="5121" max="5121" width="54.6640625" style="1340" customWidth="1"/>
    <col min="5122" max="5122" width="22.1640625" style="1340" customWidth="1"/>
    <col min="5123" max="5123" width="19.6640625" style="1340" customWidth="1"/>
    <col min="5124" max="5376" width="9.33203125" style="1340"/>
    <col min="5377" max="5377" width="54.6640625" style="1340" customWidth="1"/>
    <col min="5378" max="5378" width="22.1640625" style="1340" customWidth="1"/>
    <col min="5379" max="5379" width="19.6640625" style="1340" customWidth="1"/>
    <col min="5380" max="5632" width="9.33203125" style="1340"/>
    <col min="5633" max="5633" width="54.6640625" style="1340" customWidth="1"/>
    <col min="5634" max="5634" width="22.1640625" style="1340" customWidth="1"/>
    <col min="5635" max="5635" width="19.6640625" style="1340" customWidth="1"/>
    <col min="5636" max="5888" width="9.33203125" style="1340"/>
    <col min="5889" max="5889" width="54.6640625" style="1340" customWidth="1"/>
    <col min="5890" max="5890" width="22.1640625" style="1340" customWidth="1"/>
    <col min="5891" max="5891" width="19.6640625" style="1340" customWidth="1"/>
    <col min="5892" max="6144" width="9.33203125" style="1340"/>
    <col min="6145" max="6145" width="54.6640625" style="1340" customWidth="1"/>
    <col min="6146" max="6146" width="22.1640625" style="1340" customWidth="1"/>
    <col min="6147" max="6147" width="19.6640625" style="1340" customWidth="1"/>
    <col min="6148" max="6400" width="9.33203125" style="1340"/>
    <col min="6401" max="6401" width="54.6640625" style="1340" customWidth="1"/>
    <col min="6402" max="6402" width="22.1640625" style="1340" customWidth="1"/>
    <col min="6403" max="6403" width="19.6640625" style="1340" customWidth="1"/>
    <col min="6404" max="6656" width="9.33203125" style="1340"/>
    <col min="6657" max="6657" width="54.6640625" style="1340" customWidth="1"/>
    <col min="6658" max="6658" width="22.1640625" style="1340" customWidth="1"/>
    <col min="6659" max="6659" width="19.6640625" style="1340" customWidth="1"/>
    <col min="6660" max="6912" width="9.33203125" style="1340"/>
    <col min="6913" max="6913" width="54.6640625" style="1340" customWidth="1"/>
    <col min="6914" max="6914" width="22.1640625" style="1340" customWidth="1"/>
    <col min="6915" max="6915" width="19.6640625" style="1340" customWidth="1"/>
    <col min="6916" max="7168" width="9.33203125" style="1340"/>
    <col min="7169" max="7169" width="54.6640625" style="1340" customWidth="1"/>
    <col min="7170" max="7170" width="22.1640625" style="1340" customWidth="1"/>
    <col min="7171" max="7171" width="19.6640625" style="1340" customWidth="1"/>
    <col min="7172" max="7424" width="9.33203125" style="1340"/>
    <col min="7425" max="7425" width="54.6640625" style="1340" customWidth="1"/>
    <col min="7426" max="7426" width="22.1640625" style="1340" customWidth="1"/>
    <col min="7427" max="7427" width="19.6640625" style="1340" customWidth="1"/>
    <col min="7428" max="7680" width="9.33203125" style="1340"/>
    <col min="7681" max="7681" width="54.6640625" style="1340" customWidth="1"/>
    <col min="7682" max="7682" width="22.1640625" style="1340" customWidth="1"/>
    <col min="7683" max="7683" width="19.6640625" style="1340" customWidth="1"/>
    <col min="7684" max="7936" width="9.33203125" style="1340"/>
    <col min="7937" max="7937" width="54.6640625" style="1340" customWidth="1"/>
    <col min="7938" max="7938" width="22.1640625" style="1340" customWidth="1"/>
    <col min="7939" max="7939" width="19.6640625" style="1340" customWidth="1"/>
    <col min="7940" max="8192" width="9.33203125" style="1340"/>
    <col min="8193" max="8193" width="54.6640625" style="1340" customWidth="1"/>
    <col min="8194" max="8194" width="22.1640625" style="1340" customWidth="1"/>
    <col min="8195" max="8195" width="19.6640625" style="1340" customWidth="1"/>
    <col min="8196" max="8448" width="9.33203125" style="1340"/>
    <col min="8449" max="8449" width="54.6640625" style="1340" customWidth="1"/>
    <col min="8450" max="8450" width="22.1640625" style="1340" customWidth="1"/>
    <col min="8451" max="8451" width="19.6640625" style="1340" customWidth="1"/>
    <col min="8452" max="8704" width="9.33203125" style="1340"/>
    <col min="8705" max="8705" width="54.6640625" style="1340" customWidth="1"/>
    <col min="8706" max="8706" width="22.1640625" style="1340" customWidth="1"/>
    <col min="8707" max="8707" width="19.6640625" style="1340" customWidth="1"/>
    <col min="8708" max="8960" width="9.33203125" style="1340"/>
    <col min="8961" max="8961" width="54.6640625" style="1340" customWidth="1"/>
    <col min="8962" max="8962" width="22.1640625" style="1340" customWidth="1"/>
    <col min="8963" max="8963" width="19.6640625" style="1340" customWidth="1"/>
    <col min="8964" max="9216" width="9.33203125" style="1340"/>
    <col min="9217" max="9217" width="54.6640625" style="1340" customWidth="1"/>
    <col min="9218" max="9218" width="22.1640625" style="1340" customWidth="1"/>
    <col min="9219" max="9219" width="19.6640625" style="1340" customWidth="1"/>
    <col min="9220" max="9472" width="9.33203125" style="1340"/>
    <col min="9473" max="9473" width="54.6640625" style="1340" customWidth="1"/>
    <col min="9474" max="9474" width="22.1640625" style="1340" customWidth="1"/>
    <col min="9475" max="9475" width="19.6640625" style="1340" customWidth="1"/>
    <col min="9476" max="9728" width="9.33203125" style="1340"/>
    <col min="9729" max="9729" width="54.6640625" style="1340" customWidth="1"/>
    <col min="9730" max="9730" width="22.1640625" style="1340" customWidth="1"/>
    <col min="9731" max="9731" width="19.6640625" style="1340" customWidth="1"/>
    <col min="9732" max="9984" width="9.33203125" style="1340"/>
    <col min="9985" max="9985" width="54.6640625" style="1340" customWidth="1"/>
    <col min="9986" max="9986" width="22.1640625" style="1340" customWidth="1"/>
    <col min="9987" max="9987" width="19.6640625" style="1340" customWidth="1"/>
    <col min="9988" max="10240" width="9.33203125" style="1340"/>
    <col min="10241" max="10241" width="54.6640625" style="1340" customWidth="1"/>
    <col min="10242" max="10242" width="22.1640625" style="1340" customWidth="1"/>
    <col min="10243" max="10243" width="19.6640625" style="1340" customWidth="1"/>
    <col min="10244" max="10496" width="9.33203125" style="1340"/>
    <col min="10497" max="10497" width="54.6640625" style="1340" customWidth="1"/>
    <col min="10498" max="10498" width="22.1640625" style="1340" customWidth="1"/>
    <col min="10499" max="10499" width="19.6640625" style="1340" customWidth="1"/>
    <col min="10500" max="10752" width="9.33203125" style="1340"/>
    <col min="10753" max="10753" width="54.6640625" style="1340" customWidth="1"/>
    <col min="10754" max="10754" width="22.1640625" style="1340" customWidth="1"/>
    <col min="10755" max="10755" width="19.6640625" style="1340" customWidth="1"/>
    <col min="10756" max="11008" width="9.33203125" style="1340"/>
    <col min="11009" max="11009" width="54.6640625" style="1340" customWidth="1"/>
    <col min="11010" max="11010" width="22.1640625" style="1340" customWidth="1"/>
    <col min="11011" max="11011" width="19.6640625" style="1340" customWidth="1"/>
    <col min="11012" max="11264" width="9.33203125" style="1340"/>
    <col min="11265" max="11265" width="54.6640625" style="1340" customWidth="1"/>
    <col min="11266" max="11266" width="22.1640625" style="1340" customWidth="1"/>
    <col min="11267" max="11267" width="19.6640625" style="1340" customWidth="1"/>
    <col min="11268" max="11520" width="9.33203125" style="1340"/>
    <col min="11521" max="11521" width="54.6640625" style="1340" customWidth="1"/>
    <col min="11522" max="11522" width="22.1640625" style="1340" customWidth="1"/>
    <col min="11523" max="11523" width="19.6640625" style="1340" customWidth="1"/>
    <col min="11524" max="11776" width="9.33203125" style="1340"/>
    <col min="11777" max="11777" width="54.6640625" style="1340" customWidth="1"/>
    <col min="11778" max="11778" width="22.1640625" style="1340" customWidth="1"/>
    <col min="11779" max="11779" width="19.6640625" style="1340" customWidth="1"/>
    <col min="11780" max="12032" width="9.33203125" style="1340"/>
    <col min="12033" max="12033" width="54.6640625" style="1340" customWidth="1"/>
    <col min="12034" max="12034" width="22.1640625" style="1340" customWidth="1"/>
    <col min="12035" max="12035" width="19.6640625" style="1340" customWidth="1"/>
    <col min="12036" max="12288" width="9.33203125" style="1340"/>
    <col min="12289" max="12289" width="54.6640625" style="1340" customWidth="1"/>
    <col min="12290" max="12290" width="22.1640625" style="1340" customWidth="1"/>
    <col min="12291" max="12291" width="19.6640625" style="1340" customWidth="1"/>
    <col min="12292" max="12544" width="9.33203125" style="1340"/>
    <col min="12545" max="12545" width="54.6640625" style="1340" customWidth="1"/>
    <col min="12546" max="12546" width="22.1640625" style="1340" customWidth="1"/>
    <col min="12547" max="12547" width="19.6640625" style="1340" customWidth="1"/>
    <col min="12548" max="12800" width="9.33203125" style="1340"/>
    <col min="12801" max="12801" width="54.6640625" style="1340" customWidth="1"/>
    <col min="12802" max="12802" width="22.1640625" style="1340" customWidth="1"/>
    <col min="12803" max="12803" width="19.6640625" style="1340" customWidth="1"/>
    <col min="12804" max="13056" width="9.33203125" style="1340"/>
    <col min="13057" max="13057" width="54.6640625" style="1340" customWidth="1"/>
    <col min="13058" max="13058" width="22.1640625" style="1340" customWidth="1"/>
    <col min="13059" max="13059" width="19.6640625" style="1340" customWidth="1"/>
    <col min="13060" max="13312" width="9.33203125" style="1340"/>
    <col min="13313" max="13313" width="54.6640625" style="1340" customWidth="1"/>
    <col min="13314" max="13314" width="22.1640625" style="1340" customWidth="1"/>
    <col min="13315" max="13315" width="19.6640625" style="1340" customWidth="1"/>
    <col min="13316" max="13568" width="9.33203125" style="1340"/>
    <col min="13569" max="13569" width="54.6640625" style="1340" customWidth="1"/>
    <col min="13570" max="13570" width="22.1640625" style="1340" customWidth="1"/>
    <col min="13571" max="13571" width="19.6640625" style="1340" customWidth="1"/>
    <col min="13572" max="13824" width="9.33203125" style="1340"/>
    <col min="13825" max="13825" width="54.6640625" style="1340" customWidth="1"/>
    <col min="13826" max="13826" width="22.1640625" style="1340" customWidth="1"/>
    <col min="13827" max="13827" width="19.6640625" style="1340" customWidth="1"/>
    <col min="13828" max="14080" width="9.33203125" style="1340"/>
    <col min="14081" max="14081" width="54.6640625" style="1340" customWidth="1"/>
    <col min="14082" max="14082" width="22.1640625" style="1340" customWidth="1"/>
    <col min="14083" max="14083" width="19.6640625" style="1340" customWidth="1"/>
    <col min="14084" max="14336" width="9.33203125" style="1340"/>
    <col min="14337" max="14337" width="54.6640625" style="1340" customWidth="1"/>
    <col min="14338" max="14338" width="22.1640625" style="1340" customWidth="1"/>
    <col min="14339" max="14339" width="19.6640625" style="1340" customWidth="1"/>
    <col min="14340" max="14592" width="9.33203125" style="1340"/>
    <col min="14593" max="14593" width="54.6640625" style="1340" customWidth="1"/>
    <col min="14594" max="14594" width="22.1640625" style="1340" customWidth="1"/>
    <col min="14595" max="14595" width="19.6640625" style="1340" customWidth="1"/>
    <col min="14596" max="14848" width="9.33203125" style="1340"/>
    <col min="14849" max="14849" width="54.6640625" style="1340" customWidth="1"/>
    <col min="14850" max="14850" width="22.1640625" style="1340" customWidth="1"/>
    <col min="14851" max="14851" width="19.6640625" style="1340" customWidth="1"/>
    <col min="14852" max="15104" width="9.33203125" style="1340"/>
    <col min="15105" max="15105" width="54.6640625" style="1340" customWidth="1"/>
    <col min="15106" max="15106" width="22.1640625" style="1340" customWidth="1"/>
    <col min="15107" max="15107" width="19.6640625" style="1340" customWidth="1"/>
    <col min="15108" max="15360" width="9.33203125" style="1340"/>
    <col min="15361" max="15361" width="54.6640625" style="1340" customWidth="1"/>
    <col min="15362" max="15362" width="22.1640625" style="1340" customWidth="1"/>
    <col min="15363" max="15363" width="19.6640625" style="1340" customWidth="1"/>
    <col min="15364" max="15616" width="9.33203125" style="1340"/>
    <col min="15617" max="15617" width="54.6640625" style="1340" customWidth="1"/>
    <col min="15618" max="15618" width="22.1640625" style="1340" customWidth="1"/>
    <col min="15619" max="15619" width="19.6640625" style="1340" customWidth="1"/>
    <col min="15620" max="15872" width="9.33203125" style="1340"/>
    <col min="15873" max="15873" width="54.6640625" style="1340" customWidth="1"/>
    <col min="15874" max="15874" width="22.1640625" style="1340" customWidth="1"/>
    <col min="15875" max="15875" width="19.6640625" style="1340" customWidth="1"/>
    <col min="15876" max="16128" width="9.33203125" style="1340"/>
    <col min="16129" max="16129" width="54.6640625" style="1340" customWidth="1"/>
    <col min="16130" max="16130" width="22.1640625" style="1340" customWidth="1"/>
    <col min="16131" max="16131" width="19.6640625" style="1340" customWidth="1"/>
    <col min="16132" max="16384" width="9.33203125" style="1340"/>
  </cols>
  <sheetData>
    <row r="1" spans="1:3" ht="15.75" x14ac:dyDescent="0.25">
      <c r="A1" s="1341"/>
    </row>
    <row r="2" spans="1:3" ht="15.75" thickBot="1" x14ac:dyDescent="0.25">
      <c r="A2" s="1342"/>
    </row>
    <row r="3" spans="1:3" ht="14.25" x14ac:dyDescent="0.2">
      <c r="A3" s="1343"/>
      <c r="B3" s="1344"/>
      <c r="C3" s="1345"/>
    </row>
    <row r="4" spans="1:3" ht="15" x14ac:dyDescent="0.25">
      <c r="A4" s="1346" t="s">
        <v>1802</v>
      </c>
      <c r="B4" s="1347"/>
      <c r="C4" s="1348"/>
    </row>
    <row r="5" spans="1:3" ht="14.25" x14ac:dyDescent="0.2">
      <c r="A5" s="1349" t="s">
        <v>1803</v>
      </c>
      <c r="B5" s="1347"/>
      <c r="C5" s="1348"/>
    </row>
    <row r="6" spans="1:3" ht="14.85" customHeight="1" x14ac:dyDescent="0.25">
      <c r="A6" s="1349"/>
      <c r="B6" s="1350" t="s">
        <v>1804</v>
      </c>
      <c r="C6" s="1351" t="s">
        <v>1805</v>
      </c>
    </row>
    <row r="7" spans="1:3" ht="14.85" customHeight="1" x14ac:dyDescent="0.2">
      <c r="A7" s="1349"/>
      <c r="B7" s="1352"/>
      <c r="C7" s="1353"/>
    </row>
    <row r="8" spans="1:3" ht="16.7" customHeight="1" x14ac:dyDescent="0.2">
      <c r="A8" s="1354" t="s">
        <v>1819</v>
      </c>
      <c r="B8" s="1355" t="s">
        <v>1820</v>
      </c>
      <c r="C8" s="1361" t="s">
        <v>1813</v>
      </c>
    </row>
    <row r="9" spans="1:3" ht="16.7" customHeight="1" x14ac:dyDescent="0.2">
      <c r="A9" s="1360" t="s">
        <v>1812</v>
      </c>
      <c r="B9" s="1355" t="s">
        <v>1814</v>
      </c>
      <c r="C9" s="1356" t="s">
        <v>1815</v>
      </c>
    </row>
    <row r="10" spans="1:3" ht="33.75" customHeight="1" x14ac:dyDescent="0.2">
      <c r="A10" s="1365" t="s">
        <v>1821</v>
      </c>
      <c r="B10" s="1355" t="s">
        <v>1816</v>
      </c>
      <c r="C10" s="1361" t="s">
        <v>1817</v>
      </c>
    </row>
    <row r="11" spans="1:3" ht="16.7" customHeight="1" x14ac:dyDescent="0.2">
      <c r="A11" s="1354" t="s">
        <v>1822</v>
      </c>
      <c r="B11" s="1355" t="s">
        <v>1824</v>
      </c>
      <c r="C11" s="1361">
        <v>1315</v>
      </c>
    </row>
    <row r="12" spans="1:3" ht="16.7" customHeight="1" x14ac:dyDescent="0.2">
      <c r="A12" s="1354" t="s">
        <v>1822</v>
      </c>
      <c r="B12" s="1355" t="s">
        <v>1825</v>
      </c>
      <c r="C12" s="1361">
        <v>1044</v>
      </c>
    </row>
    <row r="13" spans="1:3" ht="16.7" customHeight="1" x14ac:dyDescent="0.2">
      <c r="A13" s="1354" t="s">
        <v>1822</v>
      </c>
      <c r="B13" s="1355" t="s">
        <v>1826</v>
      </c>
      <c r="C13" s="1361">
        <v>2508</v>
      </c>
    </row>
    <row r="14" spans="1:3" ht="16.7" customHeight="1" x14ac:dyDescent="0.2">
      <c r="A14" s="1354" t="s">
        <v>1823</v>
      </c>
      <c r="B14" s="1355" t="s">
        <v>1818</v>
      </c>
      <c r="C14" s="1361">
        <v>2836</v>
      </c>
    </row>
    <row r="15" spans="1:3" ht="16.7" customHeight="1" x14ac:dyDescent="0.2">
      <c r="A15" s="1354"/>
      <c r="B15" s="1355"/>
      <c r="C15" s="1361"/>
    </row>
    <row r="16" spans="1:3" ht="16.7" customHeight="1" x14ac:dyDescent="0.2">
      <c r="A16" s="1354"/>
      <c r="B16" s="1355"/>
      <c r="C16" s="1361"/>
    </row>
    <row r="17" spans="1:3" ht="16.7" customHeight="1" x14ac:dyDescent="0.25">
      <c r="A17" s="1359" t="s">
        <v>1847</v>
      </c>
      <c r="B17" s="1668" t="s">
        <v>1827</v>
      </c>
      <c r="C17" s="1669"/>
    </row>
    <row r="18" spans="1:3" ht="16.7" customHeight="1" x14ac:dyDescent="0.2">
      <c r="A18" s="1354"/>
      <c r="B18" s="1355"/>
      <c r="C18" s="1356"/>
    </row>
    <row r="19" spans="1:3" ht="16.7" customHeight="1" x14ac:dyDescent="0.2">
      <c r="A19" s="1354"/>
      <c r="B19" s="1355"/>
      <c r="C19" s="1356"/>
    </row>
    <row r="20" spans="1:3" ht="16.7" customHeight="1" x14ac:dyDescent="0.2">
      <c r="A20" s="1354"/>
      <c r="B20" s="1355"/>
      <c r="C20" s="1356"/>
    </row>
    <row r="21" spans="1:3" ht="16.7" customHeight="1" x14ac:dyDescent="0.25">
      <c r="A21" s="1346" t="s">
        <v>1811</v>
      </c>
      <c r="B21" s="1355"/>
      <c r="C21" s="1356"/>
    </row>
    <row r="22" spans="1:3" ht="16.7" customHeight="1" x14ac:dyDescent="0.2">
      <c r="A22" s="1359"/>
      <c r="B22" s="1355"/>
      <c r="C22" s="1356"/>
    </row>
    <row r="23" spans="1:3" ht="16.7" customHeight="1" x14ac:dyDescent="0.2">
      <c r="A23" s="1360"/>
      <c r="B23" s="1352"/>
      <c r="C23" s="1356"/>
    </row>
    <row r="24" spans="1:3" ht="16.7" customHeight="1" x14ac:dyDescent="0.2">
      <c r="A24" s="1664" t="s">
        <v>1806</v>
      </c>
      <c r="B24" s="1357" t="s">
        <v>1807</v>
      </c>
      <c r="C24" s="1666" t="s">
        <v>1808</v>
      </c>
    </row>
    <row r="25" spans="1:3" ht="16.7" customHeight="1" x14ac:dyDescent="0.2">
      <c r="A25" s="1665"/>
      <c r="B25" s="1358" t="s">
        <v>1809</v>
      </c>
      <c r="C25" s="1667"/>
    </row>
    <row r="26" spans="1:3" ht="16.7" customHeight="1" x14ac:dyDescent="0.2">
      <c r="A26" s="1360" t="s">
        <v>1828</v>
      </c>
      <c r="B26" s="1355"/>
      <c r="C26" s="1356" t="s">
        <v>1810</v>
      </c>
    </row>
    <row r="27" spans="1:3" ht="16.7" customHeight="1" x14ac:dyDescent="0.2">
      <c r="A27" s="1360" t="s">
        <v>1829</v>
      </c>
      <c r="B27" s="1355" t="s">
        <v>1830</v>
      </c>
      <c r="C27" s="1356" t="s">
        <v>1831</v>
      </c>
    </row>
    <row r="28" spans="1:3" ht="14.85" customHeight="1" x14ac:dyDescent="0.2">
      <c r="A28" s="1362"/>
      <c r="B28" s="1363"/>
      <c r="C28" s="1363"/>
    </row>
    <row r="29" spans="1:3" ht="14.85" customHeight="1" x14ac:dyDescent="0.2">
      <c r="A29" s="1362"/>
      <c r="B29" s="1363"/>
      <c r="C29" s="1363"/>
    </row>
    <row r="30" spans="1:3" ht="14.85" customHeight="1" x14ac:dyDescent="0.2">
      <c r="A30" s="1362"/>
      <c r="B30" s="1363"/>
      <c r="C30" s="1363"/>
    </row>
    <row r="31" spans="1:3" ht="14.85" customHeight="1" x14ac:dyDescent="0.2">
      <c r="A31" s="1362"/>
      <c r="B31" s="1363"/>
      <c r="C31" s="1363"/>
    </row>
    <row r="32" spans="1:3" ht="14.85" customHeight="1" x14ac:dyDescent="0.2">
      <c r="A32" s="1362"/>
      <c r="B32" s="1363"/>
      <c r="C32" s="1363"/>
    </row>
    <row r="33" spans="1:3" ht="14.85" customHeight="1" x14ac:dyDescent="0.2">
      <c r="A33" s="1362"/>
      <c r="B33" s="1363"/>
      <c r="C33" s="1363"/>
    </row>
    <row r="34" spans="1:3" ht="14.85" customHeight="1" x14ac:dyDescent="0.2">
      <c r="A34" s="1362"/>
      <c r="B34" s="1363"/>
      <c r="C34" s="1363"/>
    </row>
    <row r="35" spans="1:3" x14ac:dyDescent="0.2">
      <c r="A35" s="1362"/>
      <c r="B35" s="1363"/>
      <c r="C35" s="1363"/>
    </row>
    <row r="36" spans="1:3" x14ac:dyDescent="0.2">
      <c r="A36" s="1362"/>
      <c r="B36" s="1363"/>
      <c r="C36" s="1363"/>
    </row>
    <row r="37" spans="1:3" x14ac:dyDescent="0.2">
      <c r="A37" s="1362"/>
      <c r="B37" s="1363"/>
      <c r="C37" s="1363"/>
    </row>
    <row r="38" spans="1:3" x14ac:dyDescent="0.2">
      <c r="A38" s="1362"/>
      <c r="B38" s="1363"/>
      <c r="C38" s="1363"/>
    </row>
    <row r="39" spans="1:3" x14ac:dyDescent="0.2">
      <c r="A39" s="1362"/>
      <c r="B39" s="1363"/>
      <c r="C39" s="1363"/>
    </row>
    <row r="40" spans="1:3" x14ac:dyDescent="0.2">
      <c r="A40" s="1362"/>
      <c r="B40" s="1363"/>
      <c r="C40" s="1363"/>
    </row>
    <row r="41" spans="1:3" x14ac:dyDescent="0.2">
      <c r="A41" s="1362"/>
      <c r="B41" s="1363"/>
      <c r="C41" s="1363"/>
    </row>
    <row r="42" spans="1:3" x14ac:dyDescent="0.2">
      <c r="A42" s="1362"/>
      <c r="B42" s="1363"/>
      <c r="C42" s="1363"/>
    </row>
    <row r="43" spans="1:3" x14ac:dyDescent="0.2">
      <c r="A43" s="1362"/>
      <c r="B43" s="1363"/>
      <c r="C43" s="1363"/>
    </row>
    <row r="44" spans="1:3" x14ac:dyDescent="0.2">
      <c r="A44" s="1362"/>
      <c r="B44" s="1363"/>
      <c r="C44" s="1363"/>
    </row>
    <row r="45" spans="1:3" x14ac:dyDescent="0.2">
      <c r="A45" s="1362"/>
      <c r="B45" s="1363"/>
      <c r="C45" s="1363"/>
    </row>
    <row r="46" spans="1:3" x14ac:dyDescent="0.2">
      <c r="A46" s="1362"/>
      <c r="B46" s="1363"/>
      <c r="C46" s="1363"/>
    </row>
    <row r="47" spans="1:3" x14ac:dyDescent="0.2">
      <c r="A47" s="1362"/>
      <c r="B47" s="1363"/>
      <c r="C47" s="1363"/>
    </row>
    <row r="48" spans="1:3" x14ac:dyDescent="0.2">
      <c r="A48" s="1362"/>
      <c r="B48" s="1363"/>
      <c r="C48" s="1363"/>
    </row>
    <row r="49" spans="1:3" x14ac:dyDescent="0.2">
      <c r="A49" s="1362"/>
      <c r="B49" s="1363"/>
      <c r="C49" s="1363"/>
    </row>
    <row r="50" spans="1:3" x14ac:dyDescent="0.2">
      <c r="A50" s="1362"/>
      <c r="B50" s="1363"/>
      <c r="C50" s="1363"/>
    </row>
    <row r="51" spans="1:3" x14ac:dyDescent="0.2">
      <c r="A51" s="1362"/>
      <c r="B51" s="1363"/>
      <c r="C51" s="1363"/>
    </row>
    <row r="52" spans="1:3" x14ac:dyDescent="0.2">
      <c r="A52" s="1362"/>
      <c r="B52" s="1363"/>
      <c r="C52" s="1363"/>
    </row>
    <row r="53" spans="1:3" x14ac:dyDescent="0.2">
      <c r="A53" s="1362"/>
      <c r="B53" s="1363"/>
      <c r="C53" s="1363"/>
    </row>
    <row r="54" spans="1:3" x14ac:dyDescent="0.2">
      <c r="A54" s="1362"/>
      <c r="B54" s="1363"/>
      <c r="C54" s="1363"/>
    </row>
    <row r="55" spans="1:3" x14ac:dyDescent="0.2">
      <c r="A55" s="1362"/>
      <c r="B55" s="1363"/>
      <c r="C55" s="1363"/>
    </row>
    <row r="56" spans="1:3" x14ac:dyDescent="0.2">
      <c r="A56" s="1362"/>
      <c r="B56" s="1363"/>
      <c r="C56" s="1363"/>
    </row>
    <row r="57" spans="1:3" x14ac:dyDescent="0.2">
      <c r="A57" s="1362"/>
      <c r="B57" s="1363"/>
      <c r="C57" s="1363"/>
    </row>
    <row r="58" spans="1:3" x14ac:dyDescent="0.2">
      <c r="A58" s="1363"/>
      <c r="B58" s="1363"/>
      <c r="C58" s="1363"/>
    </row>
    <row r="59" spans="1:3" x14ac:dyDescent="0.2">
      <c r="A59" s="1363"/>
      <c r="B59" s="1363"/>
      <c r="C59" s="1363"/>
    </row>
    <row r="60" spans="1:3" x14ac:dyDescent="0.2">
      <c r="A60" s="1363"/>
      <c r="B60" s="1363"/>
      <c r="C60" s="1363"/>
    </row>
    <row r="61" spans="1:3" x14ac:dyDescent="0.2">
      <c r="A61" s="1363"/>
      <c r="B61" s="1363"/>
      <c r="C61" s="1363"/>
    </row>
    <row r="62" spans="1:3" x14ac:dyDescent="0.2">
      <c r="A62" s="1363"/>
      <c r="B62" s="1363"/>
      <c r="C62" s="1363"/>
    </row>
    <row r="63" spans="1:3" x14ac:dyDescent="0.2">
      <c r="A63" s="1363"/>
      <c r="B63" s="1363"/>
      <c r="C63" s="1363"/>
    </row>
    <row r="64" spans="1:3" x14ac:dyDescent="0.2">
      <c r="A64" s="1363"/>
      <c r="B64" s="1363"/>
      <c r="C64" s="1363"/>
    </row>
    <row r="65" spans="1:3" x14ac:dyDescent="0.2">
      <c r="A65" s="1363"/>
      <c r="B65" s="1363"/>
      <c r="C65" s="1363"/>
    </row>
    <row r="66" spans="1:3" x14ac:dyDescent="0.2">
      <c r="A66" s="1363"/>
      <c r="B66" s="1363"/>
      <c r="C66" s="1363"/>
    </row>
    <row r="67" spans="1:3" x14ac:dyDescent="0.2">
      <c r="A67" s="1363"/>
      <c r="B67" s="1363"/>
      <c r="C67" s="1363"/>
    </row>
    <row r="68" spans="1:3" x14ac:dyDescent="0.2">
      <c r="A68" s="1363"/>
      <c r="B68" s="1363"/>
      <c r="C68" s="1363"/>
    </row>
    <row r="69" spans="1:3" x14ac:dyDescent="0.2">
      <c r="A69" s="1363"/>
      <c r="B69" s="1363"/>
      <c r="C69" s="1363"/>
    </row>
    <row r="70" spans="1:3" x14ac:dyDescent="0.2">
      <c r="A70" s="1363"/>
      <c r="B70" s="1363"/>
      <c r="C70" s="1363"/>
    </row>
    <row r="71" spans="1:3" x14ac:dyDescent="0.2">
      <c r="A71" s="1363"/>
      <c r="B71" s="1363"/>
      <c r="C71" s="1363"/>
    </row>
    <row r="72" spans="1:3" x14ac:dyDescent="0.2">
      <c r="A72" s="1363"/>
      <c r="B72" s="1363"/>
      <c r="C72" s="1363"/>
    </row>
    <row r="73" spans="1:3" x14ac:dyDescent="0.2">
      <c r="A73" s="1363"/>
      <c r="B73" s="1363"/>
      <c r="C73" s="1363"/>
    </row>
    <row r="74" spans="1:3" x14ac:dyDescent="0.2">
      <c r="A74" s="1363"/>
      <c r="B74" s="1363"/>
      <c r="C74" s="1363"/>
    </row>
    <row r="75" spans="1:3" x14ac:dyDescent="0.2">
      <c r="A75" s="1363"/>
      <c r="B75" s="1363"/>
      <c r="C75" s="1363"/>
    </row>
    <row r="76" spans="1:3" x14ac:dyDescent="0.2">
      <c r="A76" s="1363"/>
      <c r="B76" s="1363"/>
      <c r="C76" s="1363"/>
    </row>
    <row r="77" spans="1:3" x14ac:dyDescent="0.2">
      <c r="A77" s="1363"/>
      <c r="B77" s="1363"/>
      <c r="C77" s="1363"/>
    </row>
    <row r="78" spans="1:3" x14ac:dyDescent="0.2">
      <c r="A78" s="1363"/>
      <c r="B78" s="1363"/>
      <c r="C78" s="1363"/>
    </row>
    <row r="79" spans="1:3" x14ac:dyDescent="0.2">
      <c r="A79" s="1363"/>
      <c r="B79" s="1363"/>
      <c r="C79" s="1363"/>
    </row>
    <row r="80" spans="1:3" x14ac:dyDescent="0.2">
      <c r="A80" s="1363"/>
      <c r="B80" s="1363"/>
      <c r="C80" s="1363"/>
    </row>
    <row r="81" spans="1:3" x14ac:dyDescent="0.2">
      <c r="A81" s="1363"/>
      <c r="B81" s="1363"/>
      <c r="C81" s="1363"/>
    </row>
    <row r="82" spans="1:3" x14ac:dyDescent="0.2">
      <c r="A82" s="1363"/>
      <c r="B82" s="1363"/>
      <c r="C82" s="1363"/>
    </row>
    <row r="83" spans="1:3" x14ac:dyDescent="0.2">
      <c r="A83" s="1363"/>
      <c r="B83" s="1363"/>
      <c r="C83" s="1363"/>
    </row>
    <row r="84" spans="1:3" x14ac:dyDescent="0.2">
      <c r="A84" s="1363"/>
      <c r="B84" s="1363"/>
      <c r="C84" s="1363"/>
    </row>
    <row r="85" spans="1:3" x14ac:dyDescent="0.2">
      <c r="A85" s="1363"/>
      <c r="B85" s="1363"/>
      <c r="C85" s="1363"/>
    </row>
    <row r="86" spans="1:3" x14ac:dyDescent="0.2">
      <c r="A86" s="1363"/>
      <c r="B86" s="1363"/>
      <c r="C86" s="1363"/>
    </row>
    <row r="87" spans="1:3" x14ac:dyDescent="0.2">
      <c r="A87" s="1363"/>
      <c r="B87" s="1363"/>
      <c r="C87" s="1363"/>
    </row>
    <row r="88" spans="1:3" x14ac:dyDescent="0.2">
      <c r="A88" s="1363"/>
      <c r="B88" s="1363"/>
      <c r="C88" s="1363"/>
    </row>
    <row r="89" spans="1:3" x14ac:dyDescent="0.2">
      <c r="A89" s="1363"/>
      <c r="B89" s="1363"/>
      <c r="C89" s="1363"/>
    </row>
    <row r="90" spans="1:3" x14ac:dyDescent="0.2">
      <c r="A90" s="1363"/>
      <c r="B90" s="1363"/>
      <c r="C90" s="1363"/>
    </row>
    <row r="91" spans="1:3" x14ac:dyDescent="0.2">
      <c r="A91" s="1363"/>
      <c r="B91" s="1363"/>
      <c r="C91" s="1363"/>
    </row>
    <row r="92" spans="1:3" x14ac:dyDescent="0.2">
      <c r="A92" s="1363"/>
      <c r="B92" s="1363"/>
      <c r="C92" s="1363"/>
    </row>
    <row r="93" spans="1:3" x14ac:dyDescent="0.2">
      <c r="A93" s="1363"/>
      <c r="B93" s="1363"/>
      <c r="C93" s="1363"/>
    </row>
    <row r="94" spans="1:3" x14ac:dyDescent="0.2">
      <c r="A94" s="1363"/>
      <c r="B94" s="1363"/>
      <c r="C94" s="1363"/>
    </row>
    <row r="95" spans="1:3" x14ac:dyDescent="0.2">
      <c r="A95" s="1363"/>
      <c r="B95" s="1363"/>
      <c r="C95" s="1363"/>
    </row>
    <row r="96" spans="1:3" x14ac:dyDescent="0.2">
      <c r="A96" s="1363"/>
      <c r="B96" s="1364"/>
    </row>
    <row r="97" spans="1:2" x14ac:dyDescent="0.2">
      <c r="A97" s="1363"/>
      <c r="B97" s="1364"/>
    </row>
    <row r="98" spans="1:2" x14ac:dyDescent="0.2">
      <c r="A98" s="1363"/>
      <c r="B98" s="1364"/>
    </row>
    <row r="99" spans="1:2" x14ac:dyDescent="0.2">
      <c r="A99" s="1363"/>
      <c r="B99" s="1364"/>
    </row>
    <row r="100" spans="1:2" x14ac:dyDescent="0.2">
      <c r="A100" s="1363"/>
      <c r="B100" s="1364"/>
    </row>
    <row r="101" spans="1:2" x14ac:dyDescent="0.2">
      <c r="A101" s="1363"/>
      <c r="B101" s="1364"/>
    </row>
    <row r="102" spans="1:2" x14ac:dyDescent="0.2">
      <c r="A102" s="1363"/>
      <c r="B102" s="1364"/>
    </row>
    <row r="103" spans="1:2" x14ac:dyDescent="0.2">
      <c r="A103" s="1363"/>
      <c r="B103" s="1364"/>
    </row>
    <row r="104" spans="1:2" x14ac:dyDescent="0.2">
      <c r="A104" s="1363"/>
      <c r="B104" s="1364"/>
    </row>
    <row r="105" spans="1:2" x14ac:dyDescent="0.2">
      <c r="A105" s="1363"/>
      <c r="B105" s="1364"/>
    </row>
    <row r="106" spans="1:2" x14ac:dyDescent="0.2">
      <c r="A106" s="1363"/>
      <c r="B106" s="1364"/>
    </row>
    <row r="107" spans="1:2" x14ac:dyDescent="0.2">
      <c r="A107" s="1363"/>
      <c r="B107" s="1364"/>
    </row>
    <row r="108" spans="1:2" x14ac:dyDescent="0.2">
      <c r="A108" s="1363"/>
      <c r="B108" s="1364"/>
    </row>
    <row r="109" spans="1:2" x14ac:dyDescent="0.2">
      <c r="A109" s="1363"/>
      <c r="B109" s="1364"/>
    </row>
    <row r="110" spans="1:2" x14ac:dyDescent="0.2">
      <c r="A110" s="1363"/>
      <c r="B110" s="1364"/>
    </row>
    <row r="111" spans="1:2" x14ac:dyDescent="0.2">
      <c r="A111" s="1363"/>
      <c r="B111" s="1364"/>
    </row>
    <row r="112" spans="1:2" x14ac:dyDescent="0.2">
      <c r="A112" s="1363"/>
      <c r="B112" s="1364"/>
    </row>
    <row r="113" spans="1:2" x14ac:dyDescent="0.2">
      <c r="A113" s="1363"/>
      <c r="B113" s="1364"/>
    </row>
    <row r="114" spans="1:2" x14ac:dyDescent="0.2">
      <c r="A114" s="1363"/>
      <c r="B114" s="1364"/>
    </row>
    <row r="115" spans="1:2" x14ac:dyDescent="0.2">
      <c r="A115" s="1363"/>
      <c r="B115" s="1364"/>
    </row>
    <row r="116" spans="1:2" x14ac:dyDescent="0.2">
      <c r="A116" s="1363"/>
      <c r="B116" s="1364"/>
    </row>
    <row r="117" spans="1:2" x14ac:dyDescent="0.2">
      <c r="A117" s="1363"/>
      <c r="B117" s="1364"/>
    </row>
    <row r="118" spans="1:2" x14ac:dyDescent="0.2">
      <c r="A118" s="1363"/>
      <c r="B118" s="1364"/>
    </row>
    <row r="119" spans="1:2" x14ac:dyDescent="0.2">
      <c r="A119" s="1363"/>
      <c r="B119" s="1364"/>
    </row>
    <row r="120" spans="1:2" x14ac:dyDescent="0.2">
      <c r="A120" s="1363"/>
      <c r="B120" s="1364"/>
    </row>
    <row r="121" spans="1:2" x14ac:dyDescent="0.2">
      <c r="A121" s="1363"/>
      <c r="B121" s="1364"/>
    </row>
    <row r="122" spans="1:2" x14ac:dyDescent="0.2">
      <c r="A122" s="1363"/>
      <c r="B122" s="1364"/>
    </row>
    <row r="123" spans="1:2" x14ac:dyDescent="0.2">
      <c r="A123" s="1363"/>
      <c r="B123" s="1364"/>
    </row>
    <row r="124" spans="1:2" x14ac:dyDescent="0.2">
      <c r="A124" s="1363"/>
      <c r="B124" s="1364"/>
    </row>
    <row r="125" spans="1:2" x14ac:dyDescent="0.2">
      <c r="A125" s="1363"/>
      <c r="B125" s="1364"/>
    </row>
    <row r="126" spans="1:2" x14ac:dyDescent="0.2">
      <c r="A126" s="1363"/>
      <c r="B126" s="1364"/>
    </row>
    <row r="127" spans="1:2" x14ac:dyDescent="0.2">
      <c r="A127" s="1363"/>
      <c r="B127" s="1364"/>
    </row>
    <row r="128" spans="1:2" x14ac:dyDescent="0.2">
      <c r="A128" s="1363"/>
      <c r="B128" s="1364"/>
    </row>
    <row r="129" spans="1:2" x14ac:dyDescent="0.2">
      <c r="A129" s="1363"/>
      <c r="B129" s="1364"/>
    </row>
    <row r="130" spans="1:2" x14ac:dyDescent="0.2">
      <c r="A130" s="1363"/>
      <c r="B130" s="1364"/>
    </row>
    <row r="131" spans="1:2" x14ac:dyDescent="0.2">
      <c r="A131" s="1363"/>
      <c r="B131" s="1364"/>
    </row>
    <row r="132" spans="1:2" x14ac:dyDescent="0.2">
      <c r="A132" s="1363"/>
      <c r="B132" s="1364"/>
    </row>
    <row r="133" spans="1:2" x14ac:dyDescent="0.2">
      <c r="A133" s="1363"/>
      <c r="B133" s="1364"/>
    </row>
    <row r="134" spans="1:2" x14ac:dyDescent="0.2">
      <c r="A134" s="1363"/>
      <c r="B134" s="1364"/>
    </row>
    <row r="135" spans="1:2" x14ac:dyDescent="0.2">
      <c r="A135" s="1363"/>
      <c r="B135" s="1364"/>
    </row>
    <row r="136" spans="1:2" x14ac:dyDescent="0.2">
      <c r="A136" s="1363"/>
      <c r="B136" s="1364"/>
    </row>
    <row r="137" spans="1:2" x14ac:dyDescent="0.2">
      <c r="A137" s="1363"/>
      <c r="B137" s="1364"/>
    </row>
    <row r="138" spans="1:2" x14ac:dyDescent="0.2">
      <c r="A138" s="1363"/>
      <c r="B138" s="1364"/>
    </row>
    <row r="139" spans="1:2" x14ac:dyDescent="0.2">
      <c r="A139" s="1363"/>
      <c r="B139" s="1364"/>
    </row>
    <row r="140" spans="1:2" x14ac:dyDescent="0.2">
      <c r="A140" s="1363"/>
      <c r="B140" s="1364"/>
    </row>
    <row r="141" spans="1:2" x14ac:dyDescent="0.2">
      <c r="A141" s="1363"/>
      <c r="B141" s="1364"/>
    </row>
    <row r="142" spans="1:2" x14ac:dyDescent="0.2">
      <c r="A142" s="1363"/>
      <c r="B142" s="1364"/>
    </row>
    <row r="143" spans="1:2" x14ac:dyDescent="0.2">
      <c r="A143" s="1363"/>
      <c r="B143" s="1364"/>
    </row>
    <row r="144" spans="1:2" x14ac:dyDescent="0.2">
      <c r="A144" s="1363"/>
      <c r="B144" s="1364"/>
    </row>
    <row r="145" spans="1:2" x14ac:dyDescent="0.2">
      <c r="A145" s="1363"/>
      <c r="B145" s="1364"/>
    </row>
    <row r="146" spans="1:2" x14ac:dyDescent="0.2">
      <c r="A146" s="1363"/>
      <c r="B146" s="1364"/>
    </row>
    <row r="147" spans="1:2" x14ac:dyDescent="0.2">
      <c r="A147" s="1363"/>
      <c r="B147" s="1364"/>
    </row>
    <row r="148" spans="1:2" x14ac:dyDescent="0.2">
      <c r="A148" s="1363"/>
      <c r="B148" s="1364"/>
    </row>
    <row r="149" spans="1:2" x14ac:dyDescent="0.2">
      <c r="A149" s="1363"/>
      <c r="B149" s="1364"/>
    </row>
    <row r="150" spans="1:2" x14ac:dyDescent="0.2">
      <c r="A150" s="1363"/>
      <c r="B150" s="1364"/>
    </row>
    <row r="151" spans="1:2" x14ac:dyDescent="0.2">
      <c r="A151" s="1363"/>
      <c r="B151" s="1364"/>
    </row>
    <row r="152" spans="1:2" x14ac:dyDescent="0.2">
      <c r="A152" s="1363"/>
      <c r="B152" s="1364"/>
    </row>
    <row r="153" spans="1:2" x14ac:dyDescent="0.2">
      <c r="A153" s="1363"/>
      <c r="B153" s="1364"/>
    </row>
    <row r="154" spans="1:2" x14ac:dyDescent="0.2">
      <c r="A154" s="1363"/>
      <c r="B154" s="1364"/>
    </row>
    <row r="155" spans="1:2" x14ac:dyDescent="0.2">
      <c r="A155" s="1363"/>
      <c r="B155" s="1364"/>
    </row>
    <row r="156" spans="1:2" x14ac:dyDescent="0.2">
      <c r="A156" s="1363"/>
      <c r="B156" s="1364"/>
    </row>
    <row r="157" spans="1:2" x14ac:dyDescent="0.2">
      <c r="A157" s="1363"/>
      <c r="B157" s="1364"/>
    </row>
    <row r="158" spans="1:2" x14ac:dyDescent="0.2">
      <c r="A158" s="1363"/>
      <c r="B158" s="1364"/>
    </row>
    <row r="159" spans="1:2" x14ac:dyDescent="0.2">
      <c r="A159" s="1363"/>
      <c r="B159" s="1364"/>
    </row>
    <row r="160" spans="1:2" x14ac:dyDescent="0.2">
      <c r="A160" s="1363"/>
      <c r="B160" s="1364"/>
    </row>
    <row r="161" spans="1:2" x14ac:dyDescent="0.2">
      <c r="A161" s="1363"/>
      <c r="B161" s="1364"/>
    </row>
    <row r="162" spans="1:2" x14ac:dyDescent="0.2">
      <c r="A162" s="1363"/>
      <c r="B162" s="1364"/>
    </row>
    <row r="163" spans="1:2" x14ac:dyDescent="0.2">
      <c r="A163" s="1363"/>
      <c r="B163" s="1364"/>
    </row>
    <row r="164" spans="1:2" x14ac:dyDescent="0.2">
      <c r="A164" s="1363"/>
      <c r="B164" s="1364"/>
    </row>
    <row r="165" spans="1:2" x14ac:dyDescent="0.2">
      <c r="A165" s="1363"/>
      <c r="B165" s="1364"/>
    </row>
    <row r="166" spans="1:2" x14ac:dyDescent="0.2">
      <c r="A166" s="1363"/>
      <c r="B166" s="1364"/>
    </row>
    <row r="167" spans="1:2" x14ac:dyDescent="0.2">
      <c r="A167" s="1363"/>
      <c r="B167" s="1364"/>
    </row>
    <row r="168" spans="1:2" x14ac:dyDescent="0.2">
      <c r="A168" s="1363"/>
      <c r="B168" s="1364"/>
    </row>
    <row r="169" spans="1:2" x14ac:dyDescent="0.2">
      <c r="A169" s="1363"/>
      <c r="B169" s="1364"/>
    </row>
    <row r="170" spans="1:2" x14ac:dyDescent="0.2">
      <c r="A170" s="1363"/>
      <c r="B170" s="1364"/>
    </row>
    <row r="171" spans="1:2" x14ac:dyDescent="0.2">
      <c r="A171" s="1363"/>
      <c r="B171" s="1364"/>
    </row>
    <row r="172" spans="1:2" x14ac:dyDescent="0.2">
      <c r="A172" s="1363"/>
      <c r="B172" s="1364"/>
    </row>
    <row r="173" spans="1:2" x14ac:dyDescent="0.2">
      <c r="A173" s="1363"/>
      <c r="B173" s="1364"/>
    </row>
    <row r="174" spans="1:2" x14ac:dyDescent="0.2">
      <c r="A174" s="1363"/>
      <c r="B174" s="1364"/>
    </row>
    <row r="175" spans="1:2" x14ac:dyDescent="0.2">
      <c r="A175" s="1363"/>
      <c r="B175" s="1364"/>
    </row>
    <row r="176" spans="1:2" x14ac:dyDescent="0.2">
      <c r="A176" s="1363"/>
      <c r="B176" s="1364"/>
    </row>
    <row r="177" spans="1:2" x14ac:dyDescent="0.2">
      <c r="A177" s="1363"/>
      <c r="B177" s="1364"/>
    </row>
    <row r="178" spans="1:2" x14ac:dyDescent="0.2">
      <c r="A178" s="1363"/>
      <c r="B178" s="1364"/>
    </row>
    <row r="179" spans="1:2" x14ac:dyDescent="0.2">
      <c r="A179" s="1363"/>
      <c r="B179" s="1364"/>
    </row>
    <row r="180" spans="1:2" x14ac:dyDescent="0.2">
      <c r="A180" s="1363"/>
      <c r="B180" s="1364"/>
    </row>
    <row r="181" spans="1:2" x14ac:dyDescent="0.2">
      <c r="A181" s="1363"/>
      <c r="B181" s="1364"/>
    </row>
    <row r="182" spans="1:2" x14ac:dyDescent="0.2">
      <c r="A182" s="1363"/>
      <c r="B182" s="1364"/>
    </row>
    <row r="183" spans="1:2" x14ac:dyDescent="0.2">
      <c r="A183" s="1363"/>
      <c r="B183" s="1364"/>
    </row>
    <row r="184" spans="1:2" x14ac:dyDescent="0.2">
      <c r="A184" s="1363"/>
      <c r="B184" s="1364"/>
    </row>
    <row r="185" spans="1:2" x14ac:dyDescent="0.2">
      <c r="A185" s="1363"/>
      <c r="B185" s="1364"/>
    </row>
    <row r="186" spans="1:2" x14ac:dyDescent="0.2">
      <c r="A186" s="1363"/>
      <c r="B186" s="1364"/>
    </row>
    <row r="187" spans="1:2" x14ac:dyDescent="0.2">
      <c r="A187" s="1363"/>
      <c r="B187" s="1364"/>
    </row>
    <row r="188" spans="1:2" x14ac:dyDescent="0.2">
      <c r="A188" s="1363"/>
      <c r="B188" s="1364"/>
    </row>
    <row r="189" spans="1:2" x14ac:dyDescent="0.2">
      <c r="A189" s="1363"/>
      <c r="B189" s="1364"/>
    </row>
    <row r="190" spans="1:2" x14ac:dyDescent="0.2">
      <c r="A190" s="1363"/>
      <c r="B190" s="1364"/>
    </row>
    <row r="191" spans="1:2" x14ac:dyDescent="0.2">
      <c r="A191" s="1363"/>
      <c r="B191" s="1364"/>
    </row>
    <row r="192" spans="1:2" x14ac:dyDescent="0.2">
      <c r="A192" s="1363"/>
      <c r="B192" s="1364"/>
    </row>
    <row r="193" spans="1:2" x14ac:dyDescent="0.2">
      <c r="A193" s="1363"/>
      <c r="B193" s="1364"/>
    </row>
    <row r="194" spans="1:2" x14ac:dyDescent="0.2">
      <c r="A194" s="1363"/>
      <c r="B194" s="1364"/>
    </row>
    <row r="195" spans="1:2" x14ac:dyDescent="0.2">
      <c r="A195" s="1363"/>
      <c r="B195" s="1364"/>
    </row>
    <row r="196" spans="1:2" x14ac:dyDescent="0.2">
      <c r="A196" s="1363"/>
      <c r="B196" s="1364"/>
    </row>
    <row r="197" spans="1:2" x14ac:dyDescent="0.2">
      <c r="A197" s="1363"/>
      <c r="B197" s="1364"/>
    </row>
    <row r="198" spans="1:2" x14ac:dyDescent="0.2">
      <c r="A198" s="1363"/>
      <c r="B198" s="1364"/>
    </row>
    <row r="199" spans="1:2" x14ac:dyDescent="0.2">
      <c r="A199" s="1363"/>
      <c r="B199" s="1364"/>
    </row>
    <row r="200" spans="1:2" x14ac:dyDescent="0.2">
      <c r="A200" s="1363"/>
      <c r="B200" s="1364"/>
    </row>
    <row r="201" spans="1:2" x14ac:dyDescent="0.2">
      <c r="A201" s="1363"/>
      <c r="B201" s="1364"/>
    </row>
    <row r="202" spans="1:2" x14ac:dyDescent="0.2">
      <c r="A202" s="1363"/>
      <c r="B202" s="1364"/>
    </row>
    <row r="203" spans="1:2" x14ac:dyDescent="0.2">
      <c r="A203" s="1363"/>
      <c r="B203" s="1364"/>
    </row>
    <row r="204" spans="1:2" x14ac:dyDescent="0.2">
      <c r="A204" s="1363"/>
      <c r="B204" s="1364"/>
    </row>
    <row r="205" spans="1:2" x14ac:dyDescent="0.2">
      <c r="A205" s="1363"/>
      <c r="B205" s="1364"/>
    </row>
    <row r="206" spans="1:2" x14ac:dyDescent="0.2">
      <c r="A206" s="1363"/>
      <c r="B206" s="1364"/>
    </row>
    <row r="207" spans="1:2" x14ac:dyDescent="0.2">
      <c r="A207" s="1363"/>
      <c r="B207" s="1364"/>
    </row>
    <row r="208" spans="1:2" x14ac:dyDescent="0.2">
      <c r="A208" s="1363"/>
      <c r="B208" s="1364"/>
    </row>
    <row r="209" spans="1:2" x14ac:dyDescent="0.2">
      <c r="A209" s="1363"/>
      <c r="B209" s="1364"/>
    </row>
    <row r="210" spans="1:2" x14ac:dyDescent="0.2">
      <c r="A210" s="1363"/>
      <c r="B210" s="1364"/>
    </row>
    <row r="211" spans="1:2" x14ac:dyDescent="0.2">
      <c r="A211" s="1363"/>
      <c r="B211" s="1364"/>
    </row>
    <row r="212" spans="1:2" x14ac:dyDescent="0.2">
      <c r="A212" s="1363"/>
      <c r="B212" s="1364"/>
    </row>
    <row r="213" spans="1:2" x14ac:dyDescent="0.2">
      <c r="A213" s="1363"/>
      <c r="B213" s="1364"/>
    </row>
    <row r="214" spans="1:2" x14ac:dyDescent="0.2">
      <c r="A214" s="1363"/>
      <c r="B214" s="1364"/>
    </row>
    <row r="215" spans="1:2" x14ac:dyDescent="0.2">
      <c r="A215" s="1363"/>
      <c r="B215" s="1364"/>
    </row>
    <row r="216" spans="1:2" x14ac:dyDescent="0.2">
      <c r="A216" s="1363"/>
      <c r="B216" s="1364"/>
    </row>
    <row r="217" spans="1:2" x14ac:dyDescent="0.2">
      <c r="A217" s="1363"/>
      <c r="B217" s="1364"/>
    </row>
    <row r="218" spans="1:2" x14ac:dyDescent="0.2">
      <c r="A218" s="1363"/>
      <c r="B218" s="1364"/>
    </row>
    <row r="219" spans="1:2" x14ac:dyDescent="0.2">
      <c r="A219" s="1363"/>
      <c r="B219" s="1364"/>
    </row>
    <row r="220" spans="1:2" x14ac:dyDescent="0.2">
      <c r="A220" s="1363"/>
      <c r="B220" s="1364"/>
    </row>
    <row r="221" spans="1:2" x14ac:dyDescent="0.2">
      <c r="A221" s="1363"/>
      <c r="B221" s="1364"/>
    </row>
    <row r="222" spans="1:2" x14ac:dyDescent="0.2">
      <c r="A222" s="1363"/>
      <c r="B222" s="1364"/>
    </row>
    <row r="223" spans="1:2" x14ac:dyDescent="0.2">
      <c r="A223" s="1363"/>
      <c r="B223" s="1364"/>
    </row>
    <row r="224" spans="1:2" x14ac:dyDescent="0.2">
      <c r="A224" s="1363"/>
      <c r="B224" s="1364"/>
    </row>
    <row r="225" spans="1:2" x14ac:dyDescent="0.2">
      <c r="A225" s="1363"/>
      <c r="B225" s="1364"/>
    </row>
    <row r="226" spans="1:2" x14ac:dyDescent="0.2">
      <c r="A226" s="1363"/>
      <c r="B226" s="1364"/>
    </row>
    <row r="227" spans="1:2" x14ac:dyDescent="0.2">
      <c r="A227" s="1363"/>
      <c r="B227" s="1364"/>
    </row>
    <row r="228" spans="1:2" x14ac:dyDescent="0.2">
      <c r="A228" s="1363"/>
      <c r="B228" s="1364"/>
    </row>
    <row r="229" spans="1:2" x14ac:dyDescent="0.2">
      <c r="A229" s="1363"/>
      <c r="B229" s="1364"/>
    </row>
    <row r="230" spans="1:2" x14ac:dyDescent="0.2">
      <c r="A230" s="1363"/>
      <c r="B230" s="1364"/>
    </row>
    <row r="231" spans="1:2" x14ac:dyDescent="0.2">
      <c r="A231" s="1363"/>
      <c r="B231" s="1364"/>
    </row>
    <row r="232" spans="1:2" x14ac:dyDescent="0.2">
      <c r="A232" s="1363"/>
      <c r="B232" s="1364"/>
    </row>
    <row r="233" spans="1:2" x14ac:dyDescent="0.2">
      <c r="A233" s="1363"/>
      <c r="B233" s="1364"/>
    </row>
    <row r="234" spans="1:2" x14ac:dyDescent="0.2">
      <c r="A234" s="1363"/>
      <c r="B234" s="1364"/>
    </row>
    <row r="235" spans="1:2" x14ac:dyDescent="0.2">
      <c r="A235" s="1363"/>
      <c r="B235" s="1364"/>
    </row>
    <row r="236" spans="1:2" x14ac:dyDescent="0.2">
      <c r="A236" s="1363"/>
      <c r="B236" s="1364"/>
    </row>
    <row r="237" spans="1:2" x14ac:dyDescent="0.2">
      <c r="A237" s="1363"/>
      <c r="B237" s="1364"/>
    </row>
    <row r="238" spans="1:2" x14ac:dyDescent="0.2">
      <c r="A238" s="1363"/>
      <c r="B238" s="1364"/>
    </row>
    <row r="239" spans="1:2" x14ac:dyDescent="0.2">
      <c r="A239" s="1363"/>
      <c r="B239" s="1364"/>
    </row>
    <row r="240" spans="1:2" x14ac:dyDescent="0.2">
      <c r="A240" s="1363"/>
      <c r="B240" s="1364"/>
    </row>
    <row r="241" spans="1:2" x14ac:dyDescent="0.2">
      <c r="A241" s="1363"/>
      <c r="B241" s="1364"/>
    </row>
    <row r="242" spans="1:2" x14ac:dyDescent="0.2">
      <c r="A242" s="1363"/>
      <c r="B242" s="1364"/>
    </row>
    <row r="243" spans="1:2" x14ac:dyDescent="0.2">
      <c r="A243" s="1363"/>
      <c r="B243" s="1364"/>
    </row>
    <row r="244" spans="1:2" x14ac:dyDescent="0.2">
      <c r="A244" s="1363"/>
      <c r="B244" s="1364"/>
    </row>
    <row r="245" spans="1:2" x14ac:dyDescent="0.2">
      <c r="A245" s="1363"/>
      <c r="B245" s="1364"/>
    </row>
    <row r="246" spans="1:2" x14ac:dyDescent="0.2">
      <c r="A246" s="1363"/>
      <c r="B246" s="1364"/>
    </row>
    <row r="247" spans="1:2" x14ac:dyDescent="0.2">
      <c r="A247" s="1363"/>
      <c r="B247" s="1364"/>
    </row>
    <row r="248" spans="1:2" x14ac:dyDescent="0.2">
      <c r="A248" s="1363"/>
      <c r="B248" s="1364"/>
    </row>
    <row r="249" spans="1:2" x14ac:dyDescent="0.2">
      <c r="A249" s="1363"/>
      <c r="B249" s="1364"/>
    </row>
    <row r="250" spans="1:2" x14ac:dyDescent="0.2">
      <c r="A250" s="1363"/>
      <c r="B250" s="1364"/>
    </row>
    <row r="251" spans="1:2" x14ac:dyDescent="0.2">
      <c r="A251" s="1363"/>
      <c r="B251" s="1364"/>
    </row>
    <row r="252" spans="1:2" x14ac:dyDescent="0.2">
      <c r="A252" s="1363"/>
      <c r="B252" s="1364"/>
    </row>
    <row r="253" spans="1:2" x14ac:dyDescent="0.2">
      <c r="A253" s="1363"/>
      <c r="B253" s="1364"/>
    </row>
    <row r="254" spans="1:2" x14ac:dyDescent="0.2">
      <c r="A254" s="1363"/>
      <c r="B254" s="1364"/>
    </row>
    <row r="255" spans="1:2" x14ac:dyDescent="0.2">
      <c r="A255" s="1363"/>
      <c r="B255" s="1364"/>
    </row>
    <row r="256" spans="1:2" x14ac:dyDescent="0.2">
      <c r="A256" s="1363"/>
      <c r="B256" s="1364"/>
    </row>
    <row r="257" spans="1:2" x14ac:dyDescent="0.2">
      <c r="A257" s="1363"/>
      <c r="B257" s="1364"/>
    </row>
    <row r="258" spans="1:2" x14ac:dyDescent="0.2">
      <c r="A258" s="1363"/>
      <c r="B258" s="1364"/>
    </row>
    <row r="259" spans="1:2" x14ac:dyDescent="0.2">
      <c r="A259" s="1363"/>
      <c r="B259" s="1364"/>
    </row>
    <row r="260" spans="1:2" x14ac:dyDescent="0.2">
      <c r="A260" s="1363"/>
      <c r="B260" s="1364"/>
    </row>
    <row r="261" spans="1:2" x14ac:dyDescent="0.2">
      <c r="A261" s="1363"/>
      <c r="B261" s="1364"/>
    </row>
    <row r="262" spans="1:2" x14ac:dyDescent="0.2">
      <c r="A262" s="1363"/>
      <c r="B262" s="1364"/>
    </row>
    <row r="263" spans="1:2" x14ac:dyDescent="0.2">
      <c r="A263" s="1363"/>
      <c r="B263" s="1364"/>
    </row>
    <row r="264" spans="1:2" x14ac:dyDescent="0.2">
      <c r="A264" s="1363"/>
      <c r="B264" s="1364"/>
    </row>
    <row r="265" spans="1:2" x14ac:dyDescent="0.2">
      <c r="A265" s="1363"/>
      <c r="B265" s="1364"/>
    </row>
    <row r="266" spans="1:2" x14ac:dyDescent="0.2">
      <c r="A266" s="1363"/>
      <c r="B266" s="1364"/>
    </row>
    <row r="267" spans="1:2" x14ac:dyDescent="0.2">
      <c r="A267" s="1363"/>
      <c r="B267" s="1364"/>
    </row>
    <row r="268" spans="1:2" x14ac:dyDescent="0.2">
      <c r="A268" s="1363"/>
      <c r="B268" s="1364"/>
    </row>
    <row r="269" spans="1:2" x14ac:dyDescent="0.2">
      <c r="A269" s="1363"/>
      <c r="B269" s="1364"/>
    </row>
    <row r="270" spans="1:2" x14ac:dyDescent="0.2">
      <c r="A270" s="1363"/>
      <c r="B270" s="1364"/>
    </row>
    <row r="271" spans="1:2" x14ac:dyDescent="0.2">
      <c r="A271" s="1363"/>
      <c r="B271" s="1364"/>
    </row>
    <row r="272" spans="1:2" x14ac:dyDescent="0.2">
      <c r="A272" s="1363"/>
      <c r="B272" s="1364"/>
    </row>
    <row r="273" spans="1:2" x14ac:dyDescent="0.2">
      <c r="A273" s="1363"/>
      <c r="B273" s="1364"/>
    </row>
    <row r="274" spans="1:2" x14ac:dyDescent="0.2">
      <c r="A274" s="1363"/>
      <c r="B274" s="1364"/>
    </row>
    <row r="275" spans="1:2" x14ac:dyDescent="0.2">
      <c r="A275" s="1363"/>
      <c r="B275" s="1364"/>
    </row>
    <row r="276" spans="1:2" x14ac:dyDescent="0.2">
      <c r="A276" s="1363"/>
      <c r="B276" s="1364"/>
    </row>
    <row r="277" spans="1:2" x14ac:dyDescent="0.2">
      <c r="A277" s="1363"/>
      <c r="B277" s="1364"/>
    </row>
    <row r="278" spans="1:2" x14ac:dyDescent="0.2">
      <c r="A278" s="1363"/>
      <c r="B278" s="1364"/>
    </row>
    <row r="279" spans="1:2" x14ac:dyDescent="0.2">
      <c r="A279" s="1363"/>
      <c r="B279" s="1364"/>
    </row>
    <row r="280" spans="1:2" x14ac:dyDescent="0.2">
      <c r="A280" s="1363"/>
      <c r="B280" s="1364"/>
    </row>
    <row r="281" spans="1:2" x14ac:dyDescent="0.2">
      <c r="A281" s="1363"/>
      <c r="B281" s="1364"/>
    </row>
    <row r="282" spans="1:2" x14ac:dyDescent="0.2">
      <c r="A282" s="1363"/>
      <c r="B282" s="1364"/>
    </row>
    <row r="283" spans="1:2" x14ac:dyDescent="0.2">
      <c r="A283" s="1363"/>
      <c r="B283" s="1364"/>
    </row>
    <row r="284" spans="1:2" x14ac:dyDescent="0.2">
      <c r="A284" s="1363"/>
      <c r="B284" s="1364"/>
    </row>
    <row r="285" spans="1:2" x14ac:dyDescent="0.2">
      <c r="A285" s="1363"/>
      <c r="B285" s="1364"/>
    </row>
    <row r="286" spans="1:2" x14ac:dyDescent="0.2">
      <c r="A286" s="1363"/>
      <c r="B286" s="1364"/>
    </row>
    <row r="287" spans="1:2" x14ac:dyDescent="0.2">
      <c r="A287" s="1363"/>
      <c r="B287" s="1364"/>
    </row>
    <row r="288" spans="1:2" x14ac:dyDescent="0.2">
      <c r="A288" s="1363"/>
      <c r="B288" s="1364"/>
    </row>
    <row r="289" spans="1:2" x14ac:dyDescent="0.2">
      <c r="A289" s="1363"/>
      <c r="B289" s="1364"/>
    </row>
    <row r="290" spans="1:2" x14ac:dyDescent="0.2">
      <c r="A290" s="1363"/>
      <c r="B290" s="1364"/>
    </row>
    <row r="291" spans="1:2" x14ac:dyDescent="0.2">
      <c r="A291" s="1363"/>
      <c r="B291" s="1364"/>
    </row>
    <row r="292" spans="1:2" x14ac:dyDescent="0.2">
      <c r="A292" s="1363"/>
      <c r="B292" s="1364"/>
    </row>
    <row r="293" spans="1:2" x14ac:dyDescent="0.2">
      <c r="A293" s="1363"/>
      <c r="B293" s="1364"/>
    </row>
    <row r="294" spans="1:2" x14ac:dyDescent="0.2">
      <c r="A294" s="1363"/>
      <c r="B294" s="1364"/>
    </row>
    <row r="295" spans="1:2" x14ac:dyDescent="0.2">
      <c r="A295" s="1363"/>
      <c r="B295" s="1364"/>
    </row>
    <row r="296" spans="1:2" x14ac:dyDescent="0.2">
      <c r="A296" s="1363"/>
      <c r="B296" s="1364"/>
    </row>
    <row r="297" spans="1:2" x14ac:dyDescent="0.2">
      <c r="A297" s="1363"/>
      <c r="B297" s="1364"/>
    </row>
    <row r="298" spans="1:2" x14ac:dyDescent="0.2">
      <c r="A298" s="1363"/>
      <c r="B298" s="1364"/>
    </row>
    <row r="299" spans="1:2" x14ac:dyDescent="0.2">
      <c r="A299" s="1363"/>
      <c r="B299" s="1364"/>
    </row>
    <row r="300" spans="1:2" x14ac:dyDescent="0.2">
      <c r="A300" s="1363"/>
      <c r="B300" s="1364"/>
    </row>
    <row r="301" spans="1:2" x14ac:dyDescent="0.2">
      <c r="A301" s="1363"/>
      <c r="B301" s="1364"/>
    </row>
    <row r="302" spans="1:2" x14ac:dyDescent="0.2">
      <c r="A302" s="1363"/>
      <c r="B302" s="1364"/>
    </row>
    <row r="303" spans="1:2" x14ac:dyDescent="0.2">
      <c r="A303" s="1363"/>
      <c r="B303" s="1364"/>
    </row>
    <row r="304" spans="1:2" x14ac:dyDescent="0.2">
      <c r="A304" s="1363"/>
      <c r="B304" s="1364"/>
    </row>
    <row r="305" spans="1:2" x14ac:dyDescent="0.2">
      <c r="A305" s="1363"/>
      <c r="B305" s="1364"/>
    </row>
    <row r="306" spans="1:2" x14ac:dyDescent="0.2">
      <c r="A306" s="1363"/>
      <c r="B306" s="1364"/>
    </row>
    <row r="307" spans="1:2" x14ac:dyDescent="0.2">
      <c r="A307" s="1363"/>
      <c r="B307" s="1364"/>
    </row>
    <row r="308" spans="1:2" x14ac:dyDescent="0.2">
      <c r="A308" s="1363"/>
      <c r="B308" s="1364"/>
    </row>
    <row r="309" spans="1:2" x14ac:dyDescent="0.2">
      <c r="A309" s="1363"/>
      <c r="B309" s="1364"/>
    </row>
    <row r="310" spans="1:2" x14ac:dyDescent="0.2">
      <c r="A310" s="1363"/>
      <c r="B310" s="1364"/>
    </row>
    <row r="311" spans="1:2" x14ac:dyDescent="0.2">
      <c r="A311" s="1363"/>
      <c r="B311" s="1364"/>
    </row>
    <row r="312" spans="1:2" x14ac:dyDescent="0.2">
      <c r="A312" s="1363"/>
      <c r="B312" s="1364"/>
    </row>
    <row r="313" spans="1:2" x14ac:dyDescent="0.2">
      <c r="A313" s="1363"/>
      <c r="B313" s="1364"/>
    </row>
    <row r="314" spans="1:2" x14ac:dyDescent="0.2">
      <c r="A314" s="1363"/>
      <c r="B314" s="1364"/>
    </row>
    <row r="315" spans="1:2" x14ac:dyDescent="0.2">
      <c r="A315" s="1363"/>
      <c r="B315" s="1364"/>
    </row>
    <row r="316" spans="1:2" x14ac:dyDescent="0.2">
      <c r="A316" s="1363"/>
      <c r="B316" s="1364"/>
    </row>
    <row r="317" spans="1:2" x14ac:dyDescent="0.2">
      <c r="A317" s="1363"/>
      <c r="B317" s="1364"/>
    </row>
    <row r="318" spans="1:2" x14ac:dyDescent="0.2">
      <c r="A318" s="1363"/>
      <c r="B318" s="1364"/>
    </row>
    <row r="319" spans="1:2" x14ac:dyDescent="0.2">
      <c r="A319" s="1363"/>
      <c r="B319" s="1364"/>
    </row>
    <row r="320" spans="1:2" x14ac:dyDescent="0.2">
      <c r="A320" s="1363"/>
      <c r="B320" s="1364"/>
    </row>
    <row r="321" spans="1:2" x14ac:dyDescent="0.2">
      <c r="A321" s="1363"/>
      <c r="B321" s="1364"/>
    </row>
    <row r="322" spans="1:2" x14ac:dyDescent="0.2">
      <c r="A322" s="1363"/>
      <c r="B322" s="1364"/>
    </row>
    <row r="323" spans="1:2" x14ac:dyDescent="0.2">
      <c r="A323" s="1363"/>
      <c r="B323" s="1364"/>
    </row>
    <row r="324" spans="1:2" x14ac:dyDescent="0.2">
      <c r="A324" s="1363"/>
      <c r="B324" s="1364"/>
    </row>
    <row r="325" spans="1:2" x14ac:dyDescent="0.2">
      <c r="A325" s="1363"/>
      <c r="B325" s="1364"/>
    </row>
    <row r="326" spans="1:2" x14ac:dyDescent="0.2">
      <c r="A326" s="1363"/>
      <c r="B326" s="1364"/>
    </row>
    <row r="327" spans="1:2" x14ac:dyDescent="0.2">
      <c r="A327" s="1363"/>
      <c r="B327" s="1364"/>
    </row>
    <row r="328" spans="1:2" x14ac:dyDescent="0.2">
      <c r="A328" s="1363"/>
      <c r="B328" s="1364"/>
    </row>
    <row r="329" spans="1:2" x14ac:dyDescent="0.2">
      <c r="A329" s="1363"/>
      <c r="B329" s="1364"/>
    </row>
    <row r="330" spans="1:2" x14ac:dyDescent="0.2">
      <c r="A330" s="1363"/>
      <c r="B330" s="1364"/>
    </row>
    <row r="331" spans="1:2" x14ac:dyDescent="0.2">
      <c r="A331" s="1363"/>
      <c r="B331" s="1364"/>
    </row>
    <row r="332" spans="1:2" x14ac:dyDescent="0.2">
      <c r="A332" s="1363"/>
      <c r="B332" s="1364"/>
    </row>
    <row r="333" spans="1:2" x14ac:dyDescent="0.2">
      <c r="A333" s="1363"/>
      <c r="B333" s="1364"/>
    </row>
    <row r="334" spans="1:2" x14ac:dyDescent="0.2">
      <c r="A334" s="1363"/>
      <c r="B334" s="1364"/>
    </row>
    <row r="335" spans="1:2" x14ac:dyDescent="0.2">
      <c r="A335" s="1363"/>
      <c r="B335" s="1364"/>
    </row>
    <row r="336" spans="1:2" x14ac:dyDescent="0.2">
      <c r="A336" s="1363"/>
      <c r="B336" s="1364"/>
    </row>
    <row r="337" spans="1:2" x14ac:dyDescent="0.2">
      <c r="A337" s="1363"/>
      <c r="B337" s="1364"/>
    </row>
    <row r="338" spans="1:2" x14ac:dyDescent="0.2">
      <c r="A338" s="1363"/>
      <c r="B338" s="1364"/>
    </row>
    <row r="339" spans="1:2" x14ac:dyDescent="0.2">
      <c r="A339" s="1363"/>
      <c r="B339" s="1364"/>
    </row>
    <row r="340" spans="1:2" x14ac:dyDescent="0.2">
      <c r="A340" s="1363"/>
      <c r="B340" s="1364"/>
    </row>
    <row r="341" spans="1:2" x14ac:dyDescent="0.2">
      <c r="A341" s="1363"/>
      <c r="B341" s="1364"/>
    </row>
    <row r="342" spans="1:2" x14ac:dyDescent="0.2">
      <c r="A342" s="1363"/>
      <c r="B342" s="1364"/>
    </row>
    <row r="343" spans="1:2" x14ac:dyDescent="0.2">
      <c r="A343" s="1363"/>
      <c r="B343" s="1364"/>
    </row>
    <row r="344" spans="1:2" x14ac:dyDescent="0.2">
      <c r="A344" s="1363"/>
      <c r="B344" s="1364"/>
    </row>
    <row r="345" spans="1:2" x14ac:dyDescent="0.2">
      <c r="A345" s="1363"/>
      <c r="B345" s="1364"/>
    </row>
    <row r="346" spans="1:2" x14ac:dyDescent="0.2">
      <c r="A346" s="1363"/>
      <c r="B346" s="1364"/>
    </row>
    <row r="347" spans="1:2" x14ac:dyDescent="0.2">
      <c r="A347" s="1363"/>
      <c r="B347" s="1364"/>
    </row>
    <row r="348" spans="1:2" x14ac:dyDescent="0.2">
      <c r="A348" s="1363"/>
      <c r="B348" s="1364"/>
    </row>
    <row r="349" spans="1:2" x14ac:dyDescent="0.2">
      <c r="A349" s="1363"/>
      <c r="B349" s="1364"/>
    </row>
    <row r="350" spans="1:2" x14ac:dyDescent="0.2">
      <c r="A350" s="1363"/>
      <c r="B350" s="1364"/>
    </row>
    <row r="351" spans="1:2" x14ac:dyDescent="0.2">
      <c r="A351" s="1363"/>
      <c r="B351" s="1364"/>
    </row>
    <row r="352" spans="1:2" x14ac:dyDescent="0.2">
      <c r="A352" s="1363"/>
      <c r="B352" s="1364"/>
    </row>
    <row r="353" spans="1:2" x14ac:dyDescent="0.2">
      <c r="A353" s="1363"/>
      <c r="B353" s="1364"/>
    </row>
    <row r="354" spans="1:2" x14ac:dyDescent="0.2">
      <c r="A354" s="1363"/>
      <c r="B354" s="1364"/>
    </row>
    <row r="355" spans="1:2" x14ac:dyDescent="0.2">
      <c r="A355" s="1363"/>
      <c r="B355" s="1364"/>
    </row>
    <row r="356" spans="1:2" x14ac:dyDescent="0.2">
      <c r="A356" s="1363"/>
      <c r="B356" s="1364"/>
    </row>
    <row r="357" spans="1:2" x14ac:dyDescent="0.2">
      <c r="A357" s="1363"/>
      <c r="B357" s="1364"/>
    </row>
    <row r="358" spans="1:2" x14ac:dyDescent="0.2">
      <c r="A358" s="1363"/>
      <c r="B358" s="1364"/>
    </row>
    <row r="359" spans="1:2" x14ac:dyDescent="0.2">
      <c r="A359" s="1363"/>
      <c r="B359" s="1364"/>
    </row>
    <row r="360" spans="1:2" x14ac:dyDescent="0.2">
      <c r="A360" s="1363"/>
      <c r="B360" s="1364"/>
    </row>
    <row r="361" spans="1:2" x14ac:dyDescent="0.2">
      <c r="A361" s="1363"/>
      <c r="B361" s="1364"/>
    </row>
    <row r="362" spans="1:2" x14ac:dyDescent="0.2">
      <c r="A362" s="1363"/>
      <c r="B362" s="1364"/>
    </row>
    <row r="363" spans="1:2" x14ac:dyDescent="0.2">
      <c r="A363" s="1363"/>
      <c r="B363" s="1364"/>
    </row>
    <row r="364" spans="1:2" x14ac:dyDescent="0.2">
      <c r="A364" s="1363"/>
      <c r="B364" s="1364"/>
    </row>
    <row r="365" spans="1:2" x14ac:dyDescent="0.2">
      <c r="A365" s="1363"/>
      <c r="B365" s="1364"/>
    </row>
    <row r="366" spans="1:2" x14ac:dyDescent="0.2">
      <c r="A366" s="1363"/>
      <c r="B366" s="1364"/>
    </row>
    <row r="367" spans="1:2" x14ac:dyDescent="0.2">
      <c r="A367" s="1363"/>
      <c r="B367" s="1364"/>
    </row>
    <row r="368" spans="1:2" x14ac:dyDescent="0.2">
      <c r="A368" s="1363"/>
      <c r="B368" s="1364"/>
    </row>
    <row r="369" spans="1:2" x14ac:dyDescent="0.2">
      <c r="A369" s="1363"/>
      <c r="B369" s="1364"/>
    </row>
    <row r="370" spans="1:2" x14ac:dyDescent="0.2">
      <c r="A370" s="1363"/>
      <c r="B370" s="1364"/>
    </row>
    <row r="371" spans="1:2" x14ac:dyDescent="0.2">
      <c r="A371" s="1363"/>
      <c r="B371" s="1364"/>
    </row>
    <row r="372" spans="1:2" x14ac:dyDescent="0.2">
      <c r="A372" s="1363"/>
      <c r="B372" s="1364"/>
    </row>
    <row r="373" spans="1:2" x14ac:dyDescent="0.2">
      <c r="A373" s="1363"/>
      <c r="B373" s="1364"/>
    </row>
    <row r="374" spans="1:2" x14ac:dyDescent="0.2">
      <c r="A374" s="1363"/>
      <c r="B374" s="1364"/>
    </row>
    <row r="375" spans="1:2" x14ac:dyDescent="0.2">
      <c r="A375" s="1363"/>
      <c r="B375" s="1364"/>
    </row>
    <row r="376" spans="1:2" x14ac:dyDescent="0.2">
      <c r="A376" s="1363"/>
      <c r="B376" s="1364"/>
    </row>
    <row r="377" spans="1:2" x14ac:dyDescent="0.2">
      <c r="A377" s="1363"/>
      <c r="B377" s="1364"/>
    </row>
    <row r="378" spans="1:2" x14ac:dyDescent="0.2">
      <c r="B378" s="1364"/>
    </row>
    <row r="379" spans="1:2" x14ac:dyDescent="0.2">
      <c r="B379" s="1364"/>
    </row>
    <row r="380" spans="1:2" x14ac:dyDescent="0.2">
      <c r="B380" s="1364"/>
    </row>
    <row r="381" spans="1:2" x14ac:dyDescent="0.2">
      <c r="B381" s="1364"/>
    </row>
    <row r="382" spans="1:2" x14ac:dyDescent="0.2">
      <c r="B382" s="1364"/>
    </row>
    <row r="383" spans="1:2" x14ac:dyDescent="0.2">
      <c r="B383" s="1364"/>
    </row>
    <row r="384" spans="1:2" x14ac:dyDescent="0.2">
      <c r="B384" s="1364"/>
    </row>
    <row r="385" spans="2:2" x14ac:dyDescent="0.2">
      <c r="B385" s="1364"/>
    </row>
    <row r="386" spans="2:2" x14ac:dyDescent="0.2">
      <c r="B386" s="1364"/>
    </row>
    <row r="387" spans="2:2" x14ac:dyDescent="0.2">
      <c r="B387" s="1364"/>
    </row>
    <row r="388" spans="2:2" x14ac:dyDescent="0.2">
      <c r="B388" s="1364"/>
    </row>
    <row r="389" spans="2:2" x14ac:dyDescent="0.2">
      <c r="B389" s="1364"/>
    </row>
    <row r="390" spans="2:2" x14ac:dyDescent="0.2">
      <c r="B390" s="1364"/>
    </row>
    <row r="391" spans="2:2" x14ac:dyDescent="0.2">
      <c r="B391" s="1364"/>
    </row>
    <row r="392" spans="2:2" x14ac:dyDescent="0.2">
      <c r="B392" s="1364"/>
    </row>
    <row r="393" spans="2:2" x14ac:dyDescent="0.2">
      <c r="B393" s="1364"/>
    </row>
    <row r="394" spans="2:2" x14ac:dyDescent="0.2">
      <c r="B394" s="1364"/>
    </row>
    <row r="395" spans="2:2" x14ac:dyDescent="0.2">
      <c r="B395" s="1364"/>
    </row>
    <row r="396" spans="2:2" x14ac:dyDescent="0.2">
      <c r="B396" s="1364"/>
    </row>
    <row r="397" spans="2:2" x14ac:dyDescent="0.2">
      <c r="B397" s="1364"/>
    </row>
    <row r="398" spans="2:2" x14ac:dyDescent="0.2">
      <c r="B398" s="1364"/>
    </row>
    <row r="399" spans="2:2" x14ac:dyDescent="0.2">
      <c r="B399" s="1364"/>
    </row>
    <row r="400" spans="2:2" x14ac:dyDescent="0.2">
      <c r="B400" s="1364"/>
    </row>
    <row r="401" spans="2:2" x14ac:dyDescent="0.2">
      <c r="B401" s="1364"/>
    </row>
    <row r="402" spans="2:2" x14ac:dyDescent="0.2">
      <c r="B402" s="1364"/>
    </row>
    <row r="403" spans="2:2" x14ac:dyDescent="0.2">
      <c r="B403" s="1364"/>
    </row>
    <row r="404" spans="2:2" x14ac:dyDescent="0.2">
      <c r="B404" s="1364"/>
    </row>
    <row r="405" spans="2:2" x14ac:dyDescent="0.2">
      <c r="B405" s="1364"/>
    </row>
    <row r="406" spans="2:2" x14ac:dyDescent="0.2">
      <c r="B406" s="1364"/>
    </row>
    <row r="407" spans="2:2" x14ac:dyDescent="0.2">
      <c r="B407" s="1364"/>
    </row>
    <row r="408" spans="2:2" x14ac:dyDescent="0.2">
      <c r="B408" s="1364"/>
    </row>
    <row r="409" spans="2:2" x14ac:dyDescent="0.2">
      <c r="B409" s="1364"/>
    </row>
    <row r="410" spans="2:2" x14ac:dyDescent="0.2">
      <c r="B410" s="1364"/>
    </row>
    <row r="411" spans="2:2" x14ac:dyDescent="0.2">
      <c r="B411" s="1364"/>
    </row>
    <row r="412" spans="2:2" x14ac:dyDescent="0.2">
      <c r="B412" s="1364"/>
    </row>
    <row r="413" spans="2:2" x14ac:dyDescent="0.2">
      <c r="B413" s="1364"/>
    </row>
    <row r="414" spans="2:2" x14ac:dyDescent="0.2">
      <c r="B414" s="1364"/>
    </row>
    <row r="415" spans="2:2" x14ac:dyDescent="0.2">
      <c r="B415" s="1364"/>
    </row>
    <row r="416" spans="2:2" x14ac:dyDescent="0.2">
      <c r="B416" s="1364"/>
    </row>
    <row r="417" spans="2:2" x14ac:dyDescent="0.2">
      <c r="B417" s="1364"/>
    </row>
    <row r="418" spans="2:2" x14ac:dyDescent="0.2">
      <c r="B418" s="1364"/>
    </row>
    <row r="419" spans="2:2" x14ac:dyDescent="0.2">
      <c r="B419" s="1364"/>
    </row>
    <row r="420" spans="2:2" x14ac:dyDescent="0.2">
      <c r="B420" s="1364"/>
    </row>
    <row r="421" spans="2:2" x14ac:dyDescent="0.2">
      <c r="B421" s="1364"/>
    </row>
    <row r="422" spans="2:2" x14ac:dyDescent="0.2">
      <c r="B422" s="1364"/>
    </row>
    <row r="423" spans="2:2" x14ac:dyDescent="0.2">
      <c r="B423" s="1364"/>
    </row>
    <row r="424" spans="2:2" x14ac:dyDescent="0.2">
      <c r="B424" s="1364"/>
    </row>
    <row r="425" spans="2:2" x14ac:dyDescent="0.2">
      <c r="B425" s="1364"/>
    </row>
    <row r="426" spans="2:2" x14ac:dyDescent="0.2">
      <c r="B426" s="1364"/>
    </row>
    <row r="427" spans="2:2" x14ac:dyDescent="0.2">
      <c r="B427" s="1364"/>
    </row>
    <row r="428" spans="2:2" x14ac:dyDescent="0.2">
      <c r="B428" s="1364"/>
    </row>
    <row r="429" spans="2:2" x14ac:dyDescent="0.2">
      <c r="B429" s="1364"/>
    </row>
    <row r="430" spans="2:2" x14ac:dyDescent="0.2">
      <c r="B430" s="1364"/>
    </row>
    <row r="431" spans="2:2" x14ac:dyDescent="0.2">
      <c r="B431" s="1364"/>
    </row>
    <row r="432" spans="2:2" x14ac:dyDescent="0.2">
      <c r="B432" s="1364"/>
    </row>
    <row r="433" spans="2:2" x14ac:dyDescent="0.2">
      <c r="B433" s="1364"/>
    </row>
    <row r="434" spans="2:2" x14ac:dyDescent="0.2">
      <c r="B434" s="1364"/>
    </row>
    <row r="435" spans="2:2" x14ac:dyDescent="0.2">
      <c r="B435" s="1364"/>
    </row>
    <row r="436" spans="2:2" x14ac:dyDescent="0.2">
      <c r="B436" s="1364"/>
    </row>
    <row r="437" spans="2:2" x14ac:dyDescent="0.2">
      <c r="B437" s="1364"/>
    </row>
    <row r="438" spans="2:2" x14ac:dyDescent="0.2">
      <c r="B438" s="1364"/>
    </row>
    <row r="439" spans="2:2" x14ac:dyDescent="0.2">
      <c r="B439" s="1364"/>
    </row>
    <row r="440" spans="2:2" x14ac:dyDescent="0.2">
      <c r="B440" s="1364"/>
    </row>
    <row r="441" spans="2:2" x14ac:dyDescent="0.2">
      <c r="B441" s="1364"/>
    </row>
    <row r="442" spans="2:2" x14ac:dyDescent="0.2">
      <c r="B442" s="1364"/>
    </row>
    <row r="443" spans="2:2" x14ac:dyDescent="0.2">
      <c r="B443" s="1364"/>
    </row>
    <row r="444" spans="2:2" x14ac:dyDescent="0.2">
      <c r="B444" s="1364"/>
    </row>
    <row r="445" spans="2:2" x14ac:dyDescent="0.2">
      <c r="B445" s="1364"/>
    </row>
    <row r="446" spans="2:2" x14ac:dyDescent="0.2">
      <c r="B446" s="1364"/>
    </row>
    <row r="447" spans="2:2" x14ac:dyDescent="0.2">
      <c r="B447" s="1364"/>
    </row>
    <row r="448" spans="2:2" x14ac:dyDescent="0.2">
      <c r="B448" s="1364"/>
    </row>
    <row r="449" spans="2:2" x14ac:dyDescent="0.2">
      <c r="B449" s="1364"/>
    </row>
    <row r="450" spans="2:2" x14ac:dyDescent="0.2">
      <c r="B450" s="1364"/>
    </row>
    <row r="451" spans="2:2" x14ac:dyDescent="0.2">
      <c r="B451" s="1364"/>
    </row>
    <row r="452" spans="2:2" x14ac:dyDescent="0.2">
      <c r="B452" s="1364"/>
    </row>
    <row r="453" spans="2:2" x14ac:dyDescent="0.2">
      <c r="B453" s="1364"/>
    </row>
    <row r="454" spans="2:2" x14ac:dyDescent="0.2">
      <c r="B454" s="1364"/>
    </row>
    <row r="455" spans="2:2" x14ac:dyDescent="0.2">
      <c r="B455" s="1364"/>
    </row>
    <row r="456" spans="2:2" x14ac:dyDescent="0.2">
      <c r="B456" s="1364"/>
    </row>
    <row r="457" spans="2:2" x14ac:dyDescent="0.2">
      <c r="B457" s="1364"/>
    </row>
    <row r="458" spans="2:2" x14ac:dyDescent="0.2">
      <c r="B458" s="1364"/>
    </row>
    <row r="459" spans="2:2" x14ac:dyDescent="0.2">
      <c r="B459" s="1364"/>
    </row>
    <row r="460" spans="2:2" x14ac:dyDescent="0.2">
      <c r="B460" s="1364"/>
    </row>
    <row r="461" spans="2:2" x14ac:dyDescent="0.2">
      <c r="B461" s="1364"/>
    </row>
    <row r="462" spans="2:2" x14ac:dyDescent="0.2">
      <c r="B462" s="1364"/>
    </row>
    <row r="463" spans="2:2" x14ac:dyDescent="0.2">
      <c r="B463" s="1364"/>
    </row>
    <row r="464" spans="2:2" x14ac:dyDescent="0.2">
      <c r="B464" s="1364"/>
    </row>
    <row r="465" spans="2:2" x14ac:dyDescent="0.2">
      <c r="B465" s="1364"/>
    </row>
    <row r="466" spans="2:2" x14ac:dyDescent="0.2">
      <c r="B466" s="1364"/>
    </row>
    <row r="467" spans="2:2" x14ac:dyDescent="0.2">
      <c r="B467" s="1364"/>
    </row>
    <row r="468" spans="2:2" x14ac:dyDescent="0.2">
      <c r="B468" s="1364"/>
    </row>
    <row r="469" spans="2:2" x14ac:dyDescent="0.2">
      <c r="B469" s="1364"/>
    </row>
    <row r="470" spans="2:2" x14ac:dyDescent="0.2">
      <c r="B470" s="1364"/>
    </row>
    <row r="471" spans="2:2" x14ac:dyDescent="0.2">
      <c r="B471" s="1364"/>
    </row>
    <row r="472" spans="2:2" x14ac:dyDescent="0.2">
      <c r="B472" s="1364"/>
    </row>
    <row r="473" spans="2:2" x14ac:dyDescent="0.2">
      <c r="B473" s="1364"/>
    </row>
    <row r="474" spans="2:2" x14ac:dyDescent="0.2">
      <c r="B474" s="1364"/>
    </row>
    <row r="475" spans="2:2" x14ac:dyDescent="0.2">
      <c r="B475" s="1364"/>
    </row>
    <row r="476" spans="2:2" x14ac:dyDescent="0.2">
      <c r="B476" s="1364"/>
    </row>
    <row r="477" spans="2:2" x14ac:dyDescent="0.2">
      <c r="B477" s="1364"/>
    </row>
    <row r="478" spans="2:2" x14ac:dyDescent="0.2">
      <c r="B478" s="1364"/>
    </row>
    <row r="479" spans="2:2" x14ac:dyDescent="0.2">
      <c r="B479" s="1364"/>
    </row>
    <row r="480" spans="2:2" x14ac:dyDescent="0.2">
      <c r="B480" s="1364"/>
    </row>
    <row r="481" spans="2:2" x14ac:dyDescent="0.2">
      <c r="B481" s="1364"/>
    </row>
    <row r="482" spans="2:2" x14ac:dyDescent="0.2">
      <c r="B482" s="1364"/>
    </row>
    <row r="483" spans="2:2" x14ac:dyDescent="0.2">
      <c r="B483" s="1364"/>
    </row>
    <row r="484" spans="2:2" x14ac:dyDescent="0.2">
      <c r="B484" s="1364"/>
    </row>
    <row r="485" spans="2:2" x14ac:dyDescent="0.2">
      <c r="B485" s="1364"/>
    </row>
    <row r="486" spans="2:2" x14ac:dyDescent="0.2">
      <c r="B486" s="1364"/>
    </row>
    <row r="487" spans="2:2" x14ac:dyDescent="0.2">
      <c r="B487" s="1364"/>
    </row>
    <row r="488" spans="2:2" x14ac:dyDescent="0.2">
      <c r="B488" s="1364"/>
    </row>
    <row r="489" spans="2:2" x14ac:dyDescent="0.2">
      <c r="B489" s="1364"/>
    </row>
    <row r="490" spans="2:2" x14ac:dyDescent="0.2">
      <c r="B490" s="1364"/>
    </row>
    <row r="491" spans="2:2" x14ac:dyDescent="0.2">
      <c r="B491" s="1364"/>
    </row>
    <row r="492" spans="2:2" x14ac:dyDescent="0.2">
      <c r="B492" s="1364"/>
    </row>
    <row r="493" spans="2:2" x14ac:dyDescent="0.2">
      <c r="B493" s="1364"/>
    </row>
    <row r="494" spans="2:2" x14ac:dyDescent="0.2">
      <c r="B494" s="1364"/>
    </row>
    <row r="495" spans="2:2" x14ac:dyDescent="0.2">
      <c r="B495" s="1364"/>
    </row>
    <row r="496" spans="2:2" x14ac:dyDescent="0.2">
      <c r="B496" s="1364"/>
    </row>
    <row r="497" spans="2:2" x14ac:dyDescent="0.2">
      <c r="B497" s="1364"/>
    </row>
    <row r="498" spans="2:2" x14ac:dyDescent="0.2">
      <c r="B498" s="1364"/>
    </row>
    <row r="499" spans="2:2" x14ac:dyDescent="0.2">
      <c r="B499" s="1364"/>
    </row>
    <row r="500" spans="2:2" x14ac:dyDescent="0.2">
      <c r="B500" s="1364"/>
    </row>
    <row r="501" spans="2:2" x14ac:dyDescent="0.2">
      <c r="B501" s="1364"/>
    </row>
    <row r="502" spans="2:2" x14ac:dyDescent="0.2">
      <c r="B502" s="1364"/>
    </row>
    <row r="503" spans="2:2" x14ac:dyDescent="0.2">
      <c r="B503" s="1364"/>
    </row>
    <row r="504" spans="2:2" x14ac:dyDescent="0.2">
      <c r="B504" s="1364"/>
    </row>
    <row r="505" spans="2:2" x14ac:dyDescent="0.2">
      <c r="B505" s="1364"/>
    </row>
    <row r="506" spans="2:2" x14ac:dyDescent="0.2">
      <c r="B506" s="1364"/>
    </row>
    <row r="507" spans="2:2" x14ac:dyDescent="0.2">
      <c r="B507" s="1364"/>
    </row>
    <row r="508" spans="2:2" x14ac:dyDescent="0.2">
      <c r="B508" s="1364"/>
    </row>
    <row r="509" spans="2:2" x14ac:dyDescent="0.2">
      <c r="B509" s="1364"/>
    </row>
    <row r="510" spans="2:2" x14ac:dyDescent="0.2">
      <c r="B510" s="1364"/>
    </row>
    <row r="511" spans="2:2" x14ac:dyDescent="0.2">
      <c r="B511" s="1364"/>
    </row>
    <row r="512" spans="2:2" x14ac:dyDescent="0.2">
      <c r="B512" s="1364"/>
    </row>
    <row r="513" spans="2:2" x14ac:dyDescent="0.2">
      <c r="B513" s="1364"/>
    </row>
    <row r="514" spans="2:2" x14ac:dyDescent="0.2">
      <c r="B514" s="1364"/>
    </row>
    <row r="515" spans="2:2" x14ac:dyDescent="0.2">
      <c r="B515" s="1364"/>
    </row>
    <row r="516" spans="2:2" x14ac:dyDescent="0.2">
      <c r="B516" s="1364"/>
    </row>
    <row r="517" spans="2:2" x14ac:dyDescent="0.2">
      <c r="B517" s="1364"/>
    </row>
    <row r="518" spans="2:2" x14ac:dyDescent="0.2">
      <c r="B518" s="1364"/>
    </row>
    <row r="519" spans="2:2" x14ac:dyDescent="0.2">
      <c r="B519" s="1364"/>
    </row>
    <row r="520" spans="2:2" x14ac:dyDescent="0.2">
      <c r="B520" s="1364"/>
    </row>
    <row r="521" spans="2:2" x14ac:dyDescent="0.2">
      <c r="B521" s="1364"/>
    </row>
    <row r="522" spans="2:2" x14ac:dyDescent="0.2">
      <c r="B522" s="1364"/>
    </row>
    <row r="523" spans="2:2" x14ac:dyDescent="0.2">
      <c r="B523" s="1364"/>
    </row>
    <row r="524" spans="2:2" x14ac:dyDescent="0.2">
      <c r="B524" s="1364"/>
    </row>
    <row r="525" spans="2:2" x14ac:dyDescent="0.2">
      <c r="B525" s="1364"/>
    </row>
    <row r="526" spans="2:2" x14ac:dyDescent="0.2">
      <c r="B526" s="1364"/>
    </row>
    <row r="527" spans="2:2" x14ac:dyDescent="0.2">
      <c r="B527" s="1364"/>
    </row>
    <row r="528" spans="2:2" x14ac:dyDescent="0.2">
      <c r="B528" s="1364"/>
    </row>
    <row r="529" spans="2:2" x14ac:dyDescent="0.2">
      <c r="B529" s="1364"/>
    </row>
    <row r="530" spans="2:2" x14ac:dyDescent="0.2">
      <c r="B530" s="1364"/>
    </row>
    <row r="531" spans="2:2" x14ac:dyDescent="0.2">
      <c r="B531" s="1364"/>
    </row>
    <row r="532" spans="2:2" x14ac:dyDescent="0.2">
      <c r="B532" s="1364"/>
    </row>
    <row r="533" spans="2:2" x14ac:dyDescent="0.2">
      <c r="B533" s="1364"/>
    </row>
    <row r="534" spans="2:2" x14ac:dyDescent="0.2">
      <c r="B534" s="1364"/>
    </row>
    <row r="535" spans="2:2" x14ac:dyDescent="0.2">
      <c r="B535" s="1364"/>
    </row>
    <row r="536" spans="2:2" x14ac:dyDescent="0.2">
      <c r="B536" s="1364"/>
    </row>
    <row r="537" spans="2:2" x14ac:dyDescent="0.2">
      <c r="B537" s="1364"/>
    </row>
    <row r="538" spans="2:2" x14ac:dyDescent="0.2">
      <c r="B538" s="1364"/>
    </row>
    <row r="539" spans="2:2" x14ac:dyDescent="0.2">
      <c r="B539" s="1364"/>
    </row>
    <row r="540" spans="2:2" x14ac:dyDescent="0.2">
      <c r="B540" s="1364"/>
    </row>
    <row r="541" spans="2:2" x14ac:dyDescent="0.2">
      <c r="B541" s="1364"/>
    </row>
    <row r="542" spans="2:2" x14ac:dyDescent="0.2">
      <c r="B542" s="1364"/>
    </row>
    <row r="543" spans="2:2" x14ac:dyDescent="0.2">
      <c r="B543" s="1364"/>
    </row>
    <row r="544" spans="2:2" x14ac:dyDescent="0.2">
      <c r="B544" s="1364"/>
    </row>
    <row r="545" spans="2:2" x14ac:dyDescent="0.2">
      <c r="B545" s="1364"/>
    </row>
    <row r="546" spans="2:2" x14ac:dyDescent="0.2">
      <c r="B546" s="1364"/>
    </row>
    <row r="547" spans="2:2" x14ac:dyDescent="0.2">
      <c r="B547" s="1364"/>
    </row>
    <row r="548" spans="2:2" x14ac:dyDescent="0.2">
      <c r="B548" s="1364"/>
    </row>
    <row r="549" spans="2:2" x14ac:dyDescent="0.2">
      <c r="B549" s="1364"/>
    </row>
    <row r="550" spans="2:2" x14ac:dyDescent="0.2">
      <c r="B550" s="1364"/>
    </row>
    <row r="551" spans="2:2" x14ac:dyDescent="0.2">
      <c r="B551" s="1364"/>
    </row>
    <row r="552" spans="2:2" x14ac:dyDescent="0.2">
      <c r="B552" s="1364"/>
    </row>
    <row r="553" spans="2:2" x14ac:dyDescent="0.2">
      <c r="B553" s="1364"/>
    </row>
    <row r="554" spans="2:2" x14ac:dyDescent="0.2">
      <c r="B554" s="1364"/>
    </row>
    <row r="555" spans="2:2" x14ac:dyDescent="0.2">
      <c r="B555" s="1364"/>
    </row>
    <row r="556" spans="2:2" x14ac:dyDescent="0.2">
      <c r="B556" s="1364"/>
    </row>
    <row r="557" spans="2:2" x14ac:dyDescent="0.2">
      <c r="B557" s="1364"/>
    </row>
    <row r="558" spans="2:2" x14ac:dyDescent="0.2">
      <c r="B558" s="1364"/>
    </row>
    <row r="559" spans="2:2" x14ac:dyDescent="0.2">
      <c r="B559" s="1364"/>
    </row>
    <row r="560" spans="2:2" x14ac:dyDescent="0.2">
      <c r="B560" s="1364"/>
    </row>
    <row r="561" spans="2:2" x14ac:dyDescent="0.2">
      <c r="B561" s="1364"/>
    </row>
    <row r="562" spans="2:2" x14ac:dyDescent="0.2">
      <c r="B562" s="1364"/>
    </row>
    <row r="563" spans="2:2" x14ac:dyDescent="0.2">
      <c r="B563" s="1364"/>
    </row>
    <row r="564" spans="2:2" x14ac:dyDescent="0.2">
      <c r="B564" s="1364"/>
    </row>
    <row r="565" spans="2:2" x14ac:dyDescent="0.2">
      <c r="B565" s="1364"/>
    </row>
    <row r="566" spans="2:2" x14ac:dyDescent="0.2">
      <c r="B566" s="1364"/>
    </row>
    <row r="567" spans="2:2" x14ac:dyDescent="0.2">
      <c r="B567" s="1364"/>
    </row>
    <row r="568" spans="2:2" x14ac:dyDescent="0.2">
      <c r="B568" s="1364"/>
    </row>
    <row r="569" spans="2:2" x14ac:dyDescent="0.2">
      <c r="B569" s="1364"/>
    </row>
    <row r="570" spans="2:2" x14ac:dyDescent="0.2">
      <c r="B570" s="1364"/>
    </row>
    <row r="571" spans="2:2" x14ac:dyDescent="0.2">
      <c r="B571" s="1364"/>
    </row>
    <row r="572" spans="2:2" x14ac:dyDescent="0.2">
      <c r="B572" s="1364"/>
    </row>
    <row r="573" spans="2:2" x14ac:dyDescent="0.2">
      <c r="B573" s="1364"/>
    </row>
    <row r="574" spans="2:2" x14ac:dyDescent="0.2">
      <c r="B574" s="1364"/>
    </row>
    <row r="575" spans="2:2" x14ac:dyDescent="0.2">
      <c r="B575" s="1364"/>
    </row>
    <row r="576" spans="2:2" x14ac:dyDescent="0.2">
      <c r="B576" s="1364"/>
    </row>
    <row r="577" spans="2:2" x14ac:dyDescent="0.2">
      <c r="B577" s="1364"/>
    </row>
    <row r="578" spans="2:2" x14ac:dyDescent="0.2">
      <c r="B578" s="1364"/>
    </row>
    <row r="579" spans="2:2" x14ac:dyDescent="0.2">
      <c r="B579" s="1364"/>
    </row>
    <row r="580" spans="2:2" x14ac:dyDescent="0.2">
      <c r="B580" s="1364"/>
    </row>
    <row r="581" spans="2:2" x14ac:dyDescent="0.2">
      <c r="B581" s="1364"/>
    </row>
    <row r="582" spans="2:2" x14ac:dyDescent="0.2">
      <c r="B582" s="1364"/>
    </row>
    <row r="583" spans="2:2" x14ac:dyDescent="0.2">
      <c r="B583" s="1364"/>
    </row>
    <row r="584" spans="2:2" x14ac:dyDescent="0.2">
      <c r="B584" s="1364"/>
    </row>
    <row r="585" spans="2:2" x14ac:dyDescent="0.2">
      <c r="B585" s="1364"/>
    </row>
    <row r="586" spans="2:2" x14ac:dyDescent="0.2">
      <c r="B586" s="1364"/>
    </row>
    <row r="587" spans="2:2" x14ac:dyDescent="0.2">
      <c r="B587" s="1364"/>
    </row>
    <row r="588" spans="2:2" x14ac:dyDescent="0.2">
      <c r="B588" s="1364"/>
    </row>
    <row r="589" spans="2:2" x14ac:dyDescent="0.2">
      <c r="B589" s="1364"/>
    </row>
    <row r="590" spans="2:2" x14ac:dyDescent="0.2">
      <c r="B590" s="1364"/>
    </row>
    <row r="591" spans="2:2" x14ac:dyDescent="0.2">
      <c r="B591" s="1364"/>
    </row>
    <row r="592" spans="2:2" x14ac:dyDescent="0.2">
      <c r="B592" s="1364"/>
    </row>
    <row r="593" spans="2:2" x14ac:dyDescent="0.2">
      <c r="B593" s="1364"/>
    </row>
    <row r="594" spans="2:2" x14ac:dyDescent="0.2">
      <c r="B594" s="1364"/>
    </row>
    <row r="595" spans="2:2" x14ac:dyDescent="0.2">
      <c r="B595" s="1364"/>
    </row>
    <row r="596" spans="2:2" x14ac:dyDescent="0.2">
      <c r="B596" s="1364"/>
    </row>
    <row r="597" spans="2:2" x14ac:dyDescent="0.2">
      <c r="B597" s="1364"/>
    </row>
    <row r="598" spans="2:2" x14ac:dyDescent="0.2">
      <c r="B598" s="1364"/>
    </row>
    <row r="599" spans="2:2" x14ac:dyDescent="0.2">
      <c r="B599" s="1364"/>
    </row>
    <row r="600" spans="2:2" x14ac:dyDescent="0.2">
      <c r="B600" s="1364"/>
    </row>
    <row r="601" spans="2:2" x14ac:dyDescent="0.2">
      <c r="B601" s="1364"/>
    </row>
    <row r="602" spans="2:2" x14ac:dyDescent="0.2">
      <c r="B602" s="1364"/>
    </row>
    <row r="603" spans="2:2" x14ac:dyDescent="0.2">
      <c r="B603" s="1364"/>
    </row>
    <row r="604" spans="2:2" x14ac:dyDescent="0.2">
      <c r="B604" s="1364"/>
    </row>
    <row r="605" spans="2:2" x14ac:dyDescent="0.2">
      <c r="B605" s="1364"/>
    </row>
    <row r="606" spans="2:2" x14ac:dyDescent="0.2">
      <c r="B606" s="1364"/>
    </row>
    <row r="607" spans="2:2" x14ac:dyDescent="0.2">
      <c r="B607" s="1364"/>
    </row>
    <row r="608" spans="2:2" x14ac:dyDescent="0.2">
      <c r="B608" s="1364"/>
    </row>
    <row r="609" spans="2:2" x14ac:dyDescent="0.2">
      <c r="B609" s="1364"/>
    </row>
    <row r="610" spans="2:2" x14ac:dyDescent="0.2">
      <c r="B610" s="1364"/>
    </row>
    <row r="611" spans="2:2" x14ac:dyDescent="0.2">
      <c r="B611" s="1364"/>
    </row>
    <row r="612" spans="2:2" x14ac:dyDescent="0.2">
      <c r="B612" s="1364"/>
    </row>
    <row r="613" spans="2:2" x14ac:dyDescent="0.2">
      <c r="B613" s="1364"/>
    </row>
    <row r="614" spans="2:2" x14ac:dyDescent="0.2">
      <c r="B614" s="1364"/>
    </row>
    <row r="615" spans="2:2" x14ac:dyDescent="0.2">
      <c r="B615" s="1364"/>
    </row>
    <row r="616" spans="2:2" x14ac:dyDescent="0.2">
      <c r="B616" s="1364"/>
    </row>
    <row r="617" spans="2:2" x14ac:dyDescent="0.2">
      <c r="B617" s="1364"/>
    </row>
    <row r="618" spans="2:2" x14ac:dyDescent="0.2">
      <c r="B618" s="1364"/>
    </row>
    <row r="619" spans="2:2" x14ac:dyDescent="0.2">
      <c r="B619" s="1364"/>
    </row>
    <row r="620" spans="2:2" x14ac:dyDescent="0.2">
      <c r="B620" s="1364"/>
    </row>
    <row r="621" spans="2:2" x14ac:dyDescent="0.2">
      <c r="B621" s="1364"/>
    </row>
    <row r="622" spans="2:2" x14ac:dyDescent="0.2">
      <c r="B622" s="1364"/>
    </row>
    <row r="623" spans="2:2" x14ac:dyDescent="0.2">
      <c r="B623" s="1364"/>
    </row>
    <row r="624" spans="2:2" x14ac:dyDescent="0.2">
      <c r="B624" s="1364"/>
    </row>
    <row r="625" spans="2:2" x14ac:dyDescent="0.2">
      <c r="B625" s="1364"/>
    </row>
    <row r="626" spans="2:2" x14ac:dyDescent="0.2">
      <c r="B626" s="1364"/>
    </row>
    <row r="627" spans="2:2" x14ac:dyDescent="0.2">
      <c r="B627" s="1364"/>
    </row>
    <row r="628" spans="2:2" x14ac:dyDescent="0.2">
      <c r="B628" s="1364"/>
    </row>
    <row r="629" spans="2:2" x14ac:dyDescent="0.2">
      <c r="B629" s="1364"/>
    </row>
    <row r="630" spans="2:2" x14ac:dyDescent="0.2">
      <c r="B630" s="1364"/>
    </row>
    <row r="631" spans="2:2" x14ac:dyDescent="0.2">
      <c r="B631" s="1364"/>
    </row>
    <row r="632" spans="2:2" x14ac:dyDescent="0.2">
      <c r="B632" s="1364"/>
    </row>
    <row r="633" spans="2:2" x14ac:dyDescent="0.2">
      <c r="B633" s="1364"/>
    </row>
    <row r="634" spans="2:2" x14ac:dyDescent="0.2">
      <c r="B634" s="1364"/>
    </row>
    <row r="635" spans="2:2" x14ac:dyDescent="0.2">
      <c r="B635" s="1364"/>
    </row>
    <row r="636" spans="2:2" x14ac:dyDescent="0.2">
      <c r="B636" s="1364"/>
    </row>
    <row r="637" spans="2:2" x14ac:dyDescent="0.2">
      <c r="B637" s="1364"/>
    </row>
    <row r="638" spans="2:2" x14ac:dyDescent="0.2">
      <c r="B638" s="1364"/>
    </row>
    <row r="639" spans="2:2" x14ac:dyDescent="0.2">
      <c r="B639" s="1364"/>
    </row>
    <row r="640" spans="2:2" x14ac:dyDescent="0.2">
      <c r="B640" s="1364"/>
    </row>
    <row r="641" spans="2:2" x14ac:dyDescent="0.2">
      <c r="B641" s="1364"/>
    </row>
    <row r="642" spans="2:2" x14ac:dyDescent="0.2">
      <c r="B642" s="1364"/>
    </row>
    <row r="643" spans="2:2" x14ac:dyDescent="0.2">
      <c r="B643" s="1364"/>
    </row>
    <row r="644" spans="2:2" x14ac:dyDescent="0.2">
      <c r="B644" s="1364"/>
    </row>
    <row r="645" spans="2:2" x14ac:dyDescent="0.2">
      <c r="B645" s="1364"/>
    </row>
    <row r="646" spans="2:2" x14ac:dyDescent="0.2">
      <c r="B646" s="1364"/>
    </row>
    <row r="647" spans="2:2" x14ac:dyDescent="0.2">
      <c r="B647" s="1364"/>
    </row>
    <row r="648" spans="2:2" x14ac:dyDescent="0.2">
      <c r="B648" s="1364"/>
    </row>
    <row r="649" spans="2:2" x14ac:dyDescent="0.2">
      <c r="B649" s="1364"/>
    </row>
    <row r="650" spans="2:2" x14ac:dyDescent="0.2">
      <c r="B650" s="1364"/>
    </row>
    <row r="651" spans="2:2" x14ac:dyDescent="0.2">
      <c r="B651" s="1364"/>
    </row>
    <row r="652" spans="2:2" x14ac:dyDescent="0.2">
      <c r="B652" s="1364"/>
    </row>
    <row r="653" spans="2:2" x14ac:dyDescent="0.2">
      <c r="B653" s="1364"/>
    </row>
    <row r="654" spans="2:2" x14ac:dyDescent="0.2">
      <c r="B654" s="1364"/>
    </row>
    <row r="655" spans="2:2" x14ac:dyDescent="0.2">
      <c r="B655" s="1364"/>
    </row>
    <row r="656" spans="2:2" x14ac:dyDescent="0.2">
      <c r="B656" s="1364"/>
    </row>
    <row r="657" spans="2:2" x14ac:dyDescent="0.2">
      <c r="B657" s="1364"/>
    </row>
    <row r="658" spans="2:2" x14ac:dyDescent="0.2">
      <c r="B658" s="1364"/>
    </row>
    <row r="659" spans="2:2" x14ac:dyDescent="0.2">
      <c r="B659" s="1364"/>
    </row>
    <row r="660" spans="2:2" x14ac:dyDescent="0.2">
      <c r="B660" s="1364"/>
    </row>
    <row r="661" spans="2:2" x14ac:dyDescent="0.2">
      <c r="B661" s="1364"/>
    </row>
    <row r="662" spans="2:2" x14ac:dyDescent="0.2">
      <c r="B662" s="1364"/>
    </row>
    <row r="663" spans="2:2" x14ac:dyDescent="0.2">
      <c r="B663" s="1364"/>
    </row>
    <row r="664" spans="2:2" x14ac:dyDescent="0.2">
      <c r="B664" s="1364"/>
    </row>
    <row r="665" spans="2:2" x14ac:dyDescent="0.2">
      <c r="B665" s="1364"/>
    </row>
    <row r="666" spans="2:2" x14ac:dyDescent="0.2">
      <c r="B666" s="1364"/>
    </row>
    <row r="667" spans="2:2" x14ac:dyDescent="0.2">
      <c r="B667" s="1364"/>
    </row>
    <row r="668" spans="2:2" x14ac:dyDescent="0.2">
      <c r="B668" s="1364"/>
    </row>
    <row r="669" spans="2:2" x14ac:dyDescent="0.2">
      <c r="B669" s="1364"/>
    </row>
    <row r="670" spans="2:2" x14ac:dyDescent="0.2">
      <c r="B670" s="1364"/>
    </row>
    <row r="671" spans="2:2" x14ac:dyDescent="0.2">
      <c r="B671" s="1364"/>
    </row>
    <row r="672" spans="2:2" x14ac:dyDescent="0.2">
      <c r="B672" s="1364"/>
    </row>
    <row r="673" spans="2:2" x14ac:dyDescent="0.2">
      <c r="B673" s="1364"/>
    </row>
    <row r="674" spans="2:2" x14ac:dyDescent="0.2">
      <c r="B674" s="1364"/>
    </row>
    <row r="675" spans="2:2" x14ac:dyDescent="0.2">
      <c r="B675" s="1364"/>
    </row>
    <row r="676" spans="2:2" x14ac:dyDescent="0.2">
      <c r="B676" s="1364"/>
    </row>
    <row r="677" spans="2:2" x14ac:dyDescent="0.2">
      <c r="B677" s="1364"/>
    </row>
    <row r="678" spans="2:2" x14ac:dyDescent="0.2">
      <c r="B678" s="1364"/>
    </row>
    <row r="679" spans="2:2" x14ac:dyDescent="0.2">
      <c r="B679" s="1364"/>
    </row>
    <row r="680" spans="2:2" x14ac:dyDescent="0.2">
      <c r="B680" s="1364"/>
    </row>
    <row r="681" spans="2:2" x14ac:dyDescent="0.2">
      <c r="B681" s="1364"/>
    </row>
    <row r="682" spans="2:2" x14ac:dyDescent="0.2">
      <c r="B682" s="1364"/>
    </row>
    <row r="683" spans="2:2" x14ac:dyDescent="0.2">
      <c r="B683" s="1364"/>
    </row>
    <row r="684" spans="2:2" x14ac:dyDescent="0.2">
      <c r="B684" s="1364"/>
    </row>
    <row r="685" spans="2:2" x14ac:dyDescent="0.2">
      <c r="B685" s="1364"/>
    </row>
    <row r="686" spans="2:2" x14ac:dyDescent="0.2">
      <c r="B686" s="1364"/>
    </row>
    <row r="687" spans="2:2" x14ac:dyDescent="0.2">
      <c r="B687" s="1364"/>
    </row>
    <row r="688" spans="2:2" x14ac:dyDescent="0.2">
      <c r="B688" s="1364"/>
    </row>
    <row r="689" spans="2:2" x14ac:dyDescent="0.2">
      <c r="B689" s="1364"/>
    </row>
    <row r="690" spans="2:2" x14ac:dyDescent="0.2">
      <c r="B690" s="1364"/>
    </row>
    <row r="691" spans="2:2" x14ac:dyDescent="0.2">
      <c r="B691" s="1364"/>
    </row>
    <row r="692" spans="2:2" x14ac:dyDescent="0.2">
      <c r="B692" s="1364"/>
    </row>
    <row r="693" spans="2:2" x14ac:dyDescent="0.2">
      <c r="B693" s="1364"/>
    </row>
    <row r="694" spans="2:2" x14ac:dyDescent="0.2">
      <c r="B694" s="1364"/>
    </row>
    <row r="695" spans="2:2" x14ac:dyDescent="0.2">
      <c r="B695" s="1364"/>
    </row>
    <row r="696" spans="2:2" x14ac:dyDescent="0.2">
      <c r="B696" s="1364"/>
    </row>
    <row r="697" spans="2:2" x14ac:dyDescent="0.2">
      <c r="B697" s="1364"/>
    </row>
    <row r="698" spans="2:2" x14ac:dyDescent="0.2">
      <c r="B698" s="1364"/>
    </row>
    <row r="699" spans="2:2" x14ac:dyDescent="0.2">
      <c r="B699" s="1364"/>
    </row>
    <row r="700" spans="2:2" x14ac:dyDescent="0.2">
      <c r="B700" s="1364"/>
    </row>
    <row r="701" spans="2:2" x14ac:dyDescent="0.2">
      <c r="B701" s="1364"/>
    </row>
    <row r="702" spans="2:2" x14ac:dyDescent="0.2">
      <c r="B702" s="1364"/>
    </row>
    <row r="703" spans="2:2" x14ac:dyDescent="0.2">
      <c r="B703" s="1364"/>
    </row>
    <row r="704" spans="2:2" x14ac:dyDescent="0.2">
      <c r="B704" s="1364"/>
    </row>
    <row r="705" spans="2:2" x14ac:dyDescent="0.2">
      <c r="B705" s="1364"/>
    </row>
    <row r="706" spans="2:2" x14ac:dyDescent="0.2">
      <c r="B706" s="1364"/>
    </row>
    <row r="707" spans="2:2" x14ac:dyDescent="0.2">
      <c r="B707" s="1364"/>
    </row>
    <row r="708" spans="2:2" x14ac:dyDescent="0.2">
      <c r="B708" s="1364"/>
    </row>
    <row r="709" spans="2:2" x14ac:dyDescent="0.2">
      <c r="B709" s="1364"/>
    </row>
    <row r="710" spans="2:2" x14ac:dyDescent="0.2">
      <c r="B710" s="1364"/>
    </row>
    <row r="711" spans="2:2" x14ac:dyDescent="0.2">
      <c r="B711" s="1364"/>
    </row>
    <row r="712" spans="2:2" x14ac:dyDescent="0.2">
      <c r="B712" s="1364"/>
    </row>
    <row r="713" spans="2:2" x14ac:dyDescent="0.2">
      <c r="B713" s="1364"/>
    </row>
    <row r="714" spans="2:2" x14ac:dyDescent="0.2">
      <c r="B714" s="1364"/>
    </row>
    <row r="715" spans="2:2" x14ac:dyDescent="0.2">
      <c r="B715" s="1364"/>
    </row>
    <row r="716" spans="2:2" x14ac:dyDescent="0.2">
      <c r="B716" s="1364"/>
    </row>
    <row r="717" spans="2:2" x14ac:dyDescent="0.2">
      <c r="B717" s="1364"/>
    </row>
    <row r="718" spans="2:2" x14ac:dyDescent="0.2">
      <c r="B718" s="1364"/>
    </row>
    <row r="719" spans="2:2" x14ac:dyDescent="0.2">
      <c r="B719" s="1364"/>
    </row>
    <row r="720" spans="2:2" x14ac:dyDescent="0.2">
      <c r="B720" s="1364"/>
    </row>
    <row r="721" spans="2:2" x14ac:dyDescent="0.2">
      <c r="B721" s="1364"/>
    </row>
    <row r="722" spans="2:2" x14ac:dyDescent="0.2">
      <c r="B722" s="1364"/>
    </row>
    <row r="723" spans="2:2" x14ac:dyDescent="0.2">
      <c r="B723" s="1364"/>
    </row>
    <row r="724" spans="2:2" x14ac:dyDescent="0.2">
      <c r="B724" s="1364"/>
    </row>
    <row r="725" spans="2:2" x14ac:dyDescent="0.2">
      <c r="B725" s="1364"/>
    </row>
    <row r="726" spans="2:2" x14ac:dyDescent="0.2">
      <c r="B726" s="1364"/>
    </row>
    <row r="727" spans="2:2" x14ac:dyDescent="0.2">
      <c r="B727" s="1364"/>
    </row>
    <row r="728" spans="2:2" x14ac:dyDescent="0.2">
      <c r="B728" s="1364"/>
    </row>
    <row r="729" spans="2:2" x14ac:dyDescent="0.2">
      <c r="B729" s="1364"/>
    </row>
    <row r="730" spans="2:2" x14ac:dyDescent="0.2">
      <c r="B730" s="1364"/>
    </row>
    <row r="731" spans="2:2" x14ac:dyDescent="0.2">
      <c r="B731" s="1364"/>
    </row>
    <row r="732" spans="2:2" x14ac:dyDescent="0.2">
      <c r="B732" s="1364"/>
    </row>
    <row r="733" spans="2:2" x14ac:dyDescent="0.2">
      <c r="B733" s="1364"/>
    </row>
    <row r="734" spans="2:2" x14ac:dyDescent="0.2">
      <c r="B734" s="1364"/>
    </row>
    <row r="735" spans="2:2" x14ac:dyDescent="0.2">
      <c r="B735" s="1364"/>
    </row>
    <row r="736" spans="2:2" x14ac:dyDescent="0.2">
      <c r="B736" s="1364"/>
    </row>
    <row r="737" spans="2:2" x14ac:dyDescent="0.2">
      <c r="B737" s="1364"/>
    </row>
    <row r="738" spans="2:2" x14ac:dyDescent="0.2">
      <c r="B738" s="1364"/>
    </row>
    <row r="739" spans="2:2" x14ac:dyDescent="0.2">
      <c r="B739" s="1364"/>
    </row>
    <row r="740" spans="2:2" x14ac:dyDescent="0.2">
      <c r="B740" s="1364"/>
    </row>
    <row r="741" spans="2:2" x14ac:dyDescent="0.2">
      <c r="B741" s="1364"/>
    </row>
    <row r="742" spans="2:2" x14ac:dyDescent="0.2">
      <c r="B742" s="1364"/>
    </row>
    <row r="743" spans="2:2" x14ac:dyDescent="0.2">
      <c r="B743" s="1364"/>
    </row>
    <row r="744" spans="2:2" x14ac:dyDescent="0.2">
      <c r="B744" s="1364"/>
    </row>
    <row r="745" spans="2:2" x14ac:dyDescent="0.2">
      <c r="B745" s="1364"/>
    </row>
    <row r="746" spans="2:2" x14ac:dyDescent="0.2">
      <c r="B746" s="1364"/>
    </row>
    <row r="747" spans="2:2" x14ac:dyDescent="0.2">
      <c r="B747" s="1364"/>
    </row>
    <row r="748" spans="2:2" x14ac:dyDescent="0.2">
      <c r="B748" s="1364"/>
    </row>
    <row r="749" spans="2:2" x14ac:dyDescent="0.2">
      <c r="B749" s="1364"/>
    </row>
    <row r="750" spans="2:2" x14ac:dyDescent="0.2">
      <c r="B750" s="1364"/>
    </row>
    <row r="751" spans="2:2" x14ac:dyDescent="0.2">
      <c r="B751" s="1364"/>
    </row>
    <row r="752" spans="2:2" x14ac:dyDescent="0.2">
      <c r="B752" s="1364"/>
    </row>
    <row r="753" spans="2:2" x14ac:dyDescent="0.2">
      <c r="B753" s="1364"/>
    </row>
    <row r="754" spans="2:2" x14ac:dyDescent="0.2">
      <c r="B754" s="1364"/>
    </row>
    <row r="755" spans="2:2" x14ac:dyDescent="0.2">
      <c r="B755" s="1364"/>
    </row>
    <row r="756" spans="2:2" x14ac:dyDescent="0.2">
      <c r="B756" s="1364"/>
    </row>
    <row r="757" spans="2:2" x14ac:dyDescent="0.2">
      <c r="B757" s="1364"/>
    </row>
    <row r="758" spans="2:2" x14ac:dyDescent="0.2">
      <c r="B758" s="1364"/>
    </row>
    <row r="759" spans="2:2" x14ac:dyDescent="0.2">
      <c r="B759" s="1364"/>
    </row>
    <row r="760" spans="2:2" x14ac:dyDescent="0.2">
      <c r="B760" s="1364"/>
    </row>
    <row r="761" spans="2:2" x14ac:dyDescent="0.2">
      <c r="B761" s="1364"/>
    </row>
    <row r="762" spans="2:2" x14ac:dyDescent="0.2">
      <c r="B762" s="1364"/>
    </row>
    <row r="763" spans="2:2" x14ac:dyDescent="0.2">
      <c r="B763" s="1364"/>
    </row>
    <row r="764" spans="2:2" x14ac:dyDescent="0.2">
      <c r="B764" s="1364"/>
    </row>
    <row r="765" spans="2:2" x14ac:dyDescent="0.2">
      <c r="B765" s="1364"/>
    </row>
    <row r="766" spans="2:2" x14ac:dyDescent="0.2">
      <c r="B766" s="1364"/>
    </row>
    <row r="767" spans="2:2" x14ac:dyDescent="0.2">
      <c r="B767" s="1364"/>
    </row>
    <row r="768" spans="2:2" x14ac:dyDescent="0.2">
      <c r="B768" s="1364"/>
    </row>
    <row r="769" spans="2:2" x14ac:dyDescent="0.2">
      <c r="B769" s="1364"/>
    </row>
  </sheetData>
  <mergeCells count="3">
    <mergeCell ref="A24:A25"/>
    <mergeCell ref="C24:C25"/>
    <mergeCell ref="B17:C17"/>
  </mergeCells>
  <pageMargins left="0.74803149606299213" right="0.74803149606299213" top="1.0629921259842521" bottom="0.98425196850393704" header="0.47244094488188981" footer="0.51181102362204722"/>
  <pageSetup paperSize="9" firstPageNumber="103" orientation="portrait" useFirstPageNumber="1" horizontalDpi="4294967294" r:id="rId1"/>
  <headerFooter alignWithMargins="0">
    <oddHeader>&amp;C&amp;"Times New Roman CE,Félkövér"&amp;14
Vecsés Város Önkormányzat 2013. évre értékesítésre kijelölt ingatlanjai
&amp;R&amp;12 9.1 számú  melléklet</oddHeader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7" sqref="E7"/>
    </sheetView>
  </sheetViews>
  <sheetFormatPr defaultColWidth="9.33203125" defaultRowHeight="12.75" x14ac:dyDescent="0.2"/>
  <cols>
    <col min="1" max="1" width="6.83203125" style="1279" customWidth="1"/>
    <col min="2" max="2" width="49.6640625" style="1280" customWidth="1"/>
    <col min="3" max="4" width="12.83203125" style="1280" customWidth="1"/>
    <col min="5" max="5" width="14" style="1280" customWidth="1"/>
    <col min="6" max="7" width="15" style="1280" customWidth="1"/>
    <col min="8" max="8" width="14.6640625" style="1280" customWidth="1"/>
    <col min="9" max="9" width="15.1640625" style="1280" customWidth="1"/>
    <col min="10" max="10" width="9.33203125" style="1280" customWidth="1"/>
    <col min="11" max="11" width="11.83203125" style="1280" bestFit="1" customWidth="1"/>
    <col min="12" max="12" width="9.33203125" style="1280" customWidth="1"/>
    <col min="13" max="13" width="11.83203125" style="1280" bestFit="1" customWidth="1"/>
    <col min="14" max="256" width="9.33203125" style="1280"/>
    <col min="257" max="257" width="6.83203125" style="1280" customWidth="1"/>
    <col min="258" max="258" width="49.6640625" style="1280" customWidth="1"/>
    <col min="259" max="260" width="12.83203125" style="1280" customWidth="1"/>
    <col min="261" max="261" width="14" style="1280" customWidth="1"/>
    <col min="262" max="263" width="15" style="1280" customWidth="1"/>
    <col min="264" max="264" width="14.6640625" style="1280" customWidth="1"/>
    <col min="265" max="265" width="13.83203125" style="1280" customWidth="1"/>
    <col min="266" max="266" width="9.33203125" style="1280" customWidth="1"/>
    <col min="267" max="267" width="11.83203125" style="1280" bestFit="1" customWidth="1"/>
    <col min="268" max="268" width="9.33203125" style="1280" customWidth="1"/>
    <col min="269" max="269" width="11.83203125" style="1280" bestFit="1" customWidth="1"/>
    <col min="270" max="512" width="9.33203125" style="1280"/>
    <col min="513" max="513" width="6.83203125" style="1280" customWidth="1"/>
    <col min="514" max="514" width="49.6640625" style="1280" customWidth="1"/>
    <col min="515" max="516" width="12.83203125" style="1280" customWidth="1"/>
    <col min="517" max="517" width="14" style="1280" customWidth="1"/>
    <col min="518" max="519" width="15" style="1280" customWidth="1"/>
    <col min="520" max="520" width="14.6640625" style="1280" customWidth="1"/>
    <col min="521" max="521" width="13.83203125" style="1280" customWidth="1"/>
    <col min="522" max="522" width="9.33203125" style="1280" customWidth="1"/>
    <col min="523" max="523" width="11.83203125" style="1280" bestFit="1" customWidth="1"/>
    <col min="524" max="524" width="9.33203125" style="1280" customWidth="1"/>
    <col min="525" max="525" width="11.83203125" style="1280" bestFit="1" customWidth="1"/>
    <col min="526" max="768" width="9.33203125" style="1280"/>
    <col min="769" max="769" width="6.83203125" style="1280" customWidth="1"/>
    <col min="770" max="770" width="49.6640625" style="1280" customWidth="1"/>
    <col min="771" max="772" width="12.83203125" style="1280" customWidth="1"/>
    <col min="773" max="773" width="14" style="1280" customWidth="1"/>
    <col min="774" max="775" width="15" style="1280" customWidth="1"/>
    <col min="776" max="776" width="14.6640625" style="1280" customWidth="1"/>
    <col min="777" max="777" width="13.83203125" style="1280" customWidth="1"/>
    <col min="778" max="778" width="9.33203125" style="1280" customWidth="1"/>
    <col min="779" max="779" width="11.83203125" style="1280" bestFit="1" customWidth="1"/>
    <col min="780" max="780" width="9.33203125" style="1280" customWidth="1"/>
    <col min="781" max="781" width="11.83203125" style="1280" bestFit="1" customWidth="1"/>
    <col min="782" max="1024" width="9.33203125" style="1280"/>
    <col min="1025" max="1025" width="6.83203125" style="1280" customWidth="1"/>
    <col min="1026" max="1026" width="49.6640625" style="1280" customWidth="1"/>
    <col min="1027" max="1028" width="12.83203125" style="1280" customWidth="1"/>
    <col min="1029" max="1029" width="14" style="1280" customWidth="1"/>
    <col min="1030" max="1031" width="15" style="1280" customWidth="1"/>
    <col min="1032" max="1032" width="14.6640625" style="1280" customWidth="1"/>
    <col min="1033" max="1033" width="13.83203125" style="1280" customWidth="1"/>
    <col min="1034" max="1034" width="9.33203125" style="1280" customWidth="1"/>
    <col min="1035" max="1035" width="11.83203125" style="1280" bestFit="1" customWidth="1"/>
    <col min="1036" max="1036" width="9.33203125" style="1280" customWidth="1"/>
    <col min="1037" max="1037" width="11.83203125" style="1280" bestFit="1" customWidth="1"/>
    <col min="1038" max="1280" width="9.33203125" style="1280"/>
    <col min="1281" max="1281" width="6.83203125" style="1280" customWidth="1"/>
    <col min="1282" max="1282" width="49.6640625" style="1280" customWidth="1"/>
    <col min="1283" max="1284" width="12.83203125" style="1280" customWidth="1"/>
    <col min="1285" max="1285" width="14" style="1280" customWidth="1"/>
    <col min="1286" max="1287" width="15" style="1280" customWidth="1"/>
    <col min="1288" max="1288" width="14.6640625" style="1280" customWidth="1"/>
    <col min="1289" max="1289" width="13.83203125" style="1280" customWidth="1"/>
    <col min="1290" max="1290" width="9.33203125" style="1280" customWidth="1"/>
    <col min="1291" max="1291" width="11.83203125" style="1280" bestFit="1" customWidth="1"/>
    <col min="1292" max="1292" width="9.33203125" style="1280" customWidth="1"/>
    <col min="1293" max="1293" width="11.83203125" style="1280" bestFit="1" customWidth="1"/>
    <col min="1294" max="1536" width="9.33203125" style="1280"/>
    <col min="1537" max="1537" width="6.83203125" style="1280" customWidth="1"/>
    <col min="1538" max="1538" width="49.6640625" style="1280" customWidth="1"/>
    <col min="1539" max="1540" width="12.83203125" style="1280" customWidth="1"/>
    <col min="1541" max="1541" width="14" style="1280" customWidth="1"/>
    <col min="1542" max="1543" width="15" style="1280" customWidth="1"/>
    <col min="1544" max="1544" width="14.6640625" style="1280" customWidth="1"/>
    <col min="1545" max="1545" width="13.83203125" style="1280" customWidth="1"/>
    <col min="1546" max="1546" width="9.33203125" style="1280" customWidth="1"/>
    <col min="1547" max="1547" width="11.83203125" style="1280" bestFit="1" customWidth="1"/>
    <col min="1548" max="1548" width="9.33203125" style="1280" customWidth="1"/>
    <col min="1549" max="1549" width="11.83203125" style="1280" bestFit="1" customWidth="1"/>
    <col min="1550" max="1792" width="9.33203125" style="1280"/>
    <col min="1793" max="1793" width="6.83203125" style="1280" customWidth="1"/>
    <col min="1794" max="1794" width="49.6640625" style="1280" customWidth="1"/>
    <col min="1795" max="1796" width="12.83203125" style="1280" customWidth="1"/>
    <col min="1797" max="1797" width="14" style="1280" customWidth="1"/>
    <col min="1798" max="1799" width="15" style="1280" customWidth="1"/>
    <col min="1800" max="1800" width="14.6640625" style="1280" customWidth="1"/>
    <col min="1801" max="1801" width="13.83203125" style="1280" customWidth="1"/>
    <col min="1802" max="1802" width="9.33203125" style="1280" customWidth="1"/>
    <col min="1803" max="1803" width="11.83203125" style="1280" bestFit="1" customWidth="1"/>
    <col min="1804" max="1804" width="9.33203125" style="1280" customWidth="1"/>
    <col min="1805" max="1805" width="11.83203125" style="1280" bestFit="1" customWidth="1"/>
    <col min="1806" max="2048" width="9.33203125" style="1280"/>
    <col min="2049" max="2049" width="6.83203125" style="1280" customWidth="1"/>
    <col min="2050" max="2050" width="49.6640625" style="1280" customWidth="1"/>
    <col min="2051" max="2052" width="12.83203125" style="1280" customWidth="1"/>
    <col min="2053" max="2053" width="14" style="1280" customWidth="1"/>
    <col min="2054" max="2055" width="15" style="1280" customWidth="1"/>
    <col min="2056" max="2056" width="14.6640625" style="1280" customWidth="1"/>
    <col min="2057" max="2057" width="13.83203125" style="1280" customWidth="1"/>
    <col min="2058" max="2058" width="9.33203125" style="1280" customWidth="1"/>
    <col min="2059" max="2059" width="11.83203125" style="1280" bestFit="1" customWidth="1"/>
    <col min="2060" max="2060" width="9.33203125" style="1280" customWidth="1"/>
    <col min="2061" max="2061" width="11.83203125" style="1280" bestFit="1" customWidth="1"/>
    <col min="2062" max="2304" width="9.33203125" style="1280"/>
    <col min="2305" max="2305" width="6.83203125" style="1280" customWidth="1"/>
    <col min="2306" max="2306" width="49.6640625" style="1280" customWidth="1"/>
    <col min="2307" max="2308" width="12.83203125" style="1280" customWidth="1"/>
    <col min="2309" max="2309" width="14" style="1280" customWidth="1"/>
    <col min="2310" max="2311" width="15" style="1280" customWidth="1"/>
    <col min="2312" max="2312" width="14.6640625" style="1280" customWidth="1"/>
    <col min="2313" max="2313" width="13.83203125" style="1280" customWidth="1"/>
    <col min="2314" max="2314" width="9.33203125" style="1280" customWidth="1"/>
    <col min="2315" max="2315" width="11.83203125" style="1280" bestFit="1" customWidth="1"/>
    <col min="2316" max="2316" width="9.33203125" style="1280" customWidth="1"/>
    <col min="2317" max="2317" width="11.83203125" style="1280" bestFit="1" customWidth="1"/>
    <col min="2318" max="2560" width="9.33203125" style="1280"/>
    <col min="2561" max="2561" width="6.83203125" style="1280" customWidth="1"/>
    <col min="2562" max="2562" width="49.6640625" style="1280" customWidth="1"/>
    <col min="2563" max="2564" width="12.83203125" style="1280" customWidth="1"/>
    <col min="2565" max="2565" width="14" style="1280" customWidth="1"/>
    <col min="2566" max="2567" width="15" style="1280" customWidth="1"/>
    <col min="2568" max="2568" width="14.6640625" style="1280" customWidth="1"/>
    <col min="2569" max="2569" width="13.83203125" style="1280" customWidth="1"/>
    <col min="2570" max="2570" width="9.33203125" style="1280" customWidth="1"/>
    <col min="2571" max="2571" width="11.83203125" style="1280" bestFit="1" customWidth="1"/>
    <col min="2572" max="2572" width="9.33203125" style="1280" customWidth="1"/>
    <col min="2573" max="2573" width="11.83203125" style="1280" bestFit="1" customWidth="1"/>
    <col min="2574" max="2816" width="9.33203125" style="1280"/>
    <col min="2817" max="2817" width="6.83203125" style="1280" customWidth="1"/>
    <col min="2818" max="2818" width="49.6640625" style="1280" customWidth="1"/>
    <col min="2819" max="2820" width="12.83203125" style="1280" customWidth="1"/>
    <col min="2821" max="2821" width="14" style="1280" customWidth="1"/>
    <col min="2822" max="2823" width="15" style="1280" customWidth="1"/>
    <col min="2824" max="2824" width="14.6640625" style="1280" customWidth="1"/>
    <col min="2825" max="2825" width="13.83203125" style="1280" customWidth="1"/>
    <col min="2826" max="2826" width="9.33203125" style="1280" customWidth="1"/>
    <col min="2827" max="2827" width="11.83203125" style="1280" bestFit="1" customWidth="1"/>
    <col min="2828" max="2828" width="9.33203125" style="1280" customWidth="1"/>
    <col min="2829" max="2829" width="11.83203125" style="1280" bestFit="1" customWidth="1"/>
    <col min="2830" max="3072" width="9.33203125" style="1280"/>
    <col min="3073" max="3073" width="6.83203125" style="1280" customWidth="1"/>
    <col min="3074" max="3074" width="49.6640625" style="1280" customWidth="1"/>
    <col min="3075" max="3076" width="12.83203125" style="1280" customWidth="1"/>
    <col min="3077" max="3077" width="14" style="1280" customWidth="1"/>
    <col min="3078" max="3079" width="15" style="1280" customWidth="1"/>
    <col min="3080" max="3080" width="14.6640625" style="1280" customWidth="1"/>
    <col min="3081" max="3081" width="13.83203125" style="1280" customWidth="1"/>
    <col min="3082" max="3082" width="9.33203125" style="1280" customWidth="1"/>
    <col min="3083" max="3083" width="11.83203125" style="1280" bestFit="1" customWidth="1"/>
    <col min="3084" max="3084" width="9.33203125" style="1280" customWidth="1"/>
    <col min="3085" max="3085" width="11.83203125" style="1280" bestFit="1" customWidth="1"/>
    <col min="3086" max="3328" width="9.33203125" style="1280"/>
    <col min="3329" max="3329" width="6.83203125" style="1280" customWidth="1"/>
    <col min="3330" max="3330" width="49.6640625" style="1280" customWidth="1"/>
    <col min="3331" max="3332" width="12.83203125" style="1280" customWidth="1"/>
    <col min="3333" max="3333" width="14" style="1280" customWidth="1"/>
    <col min="3334" max="3335" width="15" style="1280" customWidth="1"/>
    <col min="3336" max="3336" width="14.6640625" style="1280" customWidth="1"/>
    <col min="3337" max="3337" width="13.83203125" style="1280" customWidth="1"/>
    <col min="3338" max="3338" width="9.33203125" style="1280" customWidth="1"/>
    <col min="3339" max="3339" width="11.83203125" style="1280" bestFit="1" customWidth="1"/>
    <col min="3340" max="3340" width="9.33203125" style="1280" customWidth="1"/>
    <col min="3341" max="3341" width="11.83203125" style="1280" bestFit="1" customWidth="1"/>
    <col min="3342" max="3584" width="9.33203125" style="1280"/>
    <col min="3585" max="3585" width="6.83203125" style="1280" customWidth="1"/>
    <col min="3586" max="3586" width="49.6640625" style="1280" customWidth="1"/>
    <col min="3587" max="3588" width="12.83203125" style="1280" customWidth="1"/>
    <col min="3589" max="3589" width="14" style="1280" customWidth="1"/>
    <col min="3590" max="3591" width="15" style="1280" customWidth="1"/>
    <col min="3592" max="3592" width="14.6640625" style="1280" customWidth="1"/>
    <col min="3593" max="3593" width="13.83203125" style="1280" customWidth="1"/>
    <col min="3594" max="3594" width="9.33203125" style="1280" customWidth="1"/>
    <col min="3595" max="3595" width="11.83203125" style="1280" bestFit="1" customWidth="1"/>
    <col min="3596" max="3596" width="9.33203125" style="1280" customWidth="1"/>
    <col min="3597" max="3597" width="11.83203125" style="1280" bestFit="1" customWidth="1"/>
    <col min="3598" max="3840" width="9.33203125" style="1280"/>
    <col min="3841" max="3841" width="6.83203125" style="1280" customWidth="1"/>
    <col min="3842" max="3842" width="49.6640625" style="1280" customWidth="1"/>
    <col min="3843" max="3844" width="12.83203125" style="1280" customWidth="1"/>
    <col min="3845" max="3845" width="14" style="1280" customWidth="1"/>
    <col min="3846" max="3847" width="15" style="1280" customWidth="1"/>
    <col min="3848" max="3848" width="14.6640625" style="1280" customWidth="1"/>
    <col min="3849" max="3849" width="13.83203125" style="1280" customWidth="1"/>
    <col min="3850" max="3850" width="9.33203125" style="1280" customWidth="1"/>
    <col min="3851" max="3851" width="11.83203125" style="1280" bestFit="1" customWidth="1"/>
    <col min="3852" max="3852" width="9.33203125" style="1280" customWidth="1"/>
    <col min="3853" max="3853" width="11.83203125" style="1280" bestFit="1" customWidth="1"/>
    <col min="3854" max="4096" width="9.33203125" style="1280"/>
    <col min="4097" max="4097" width="6.83203125" style="1280" customWidth="1"/>
    <col min="4098" max="4098" width="49.6640625" style="1280" customWidth="1"/>
    <col min="4099" max="4100" width="12.83203125" style="1280" customWidth="1"/>
    <col min="4101" max="4101" width="14" style="1280" customWidth="1"/>
    <col min="4102" max="4103" width="15" style="1280" customWidth="1"/>
    <col min="4104" max="4104" width="14.6640625" style="1280" customWidth="1"/>
    <col min="4105" max="4105" width="13.83203125" style="1280" customWidth="1"/>
    <col min="4106" max="4106" width="9.33203125" style="1280" customWidth="1"/>
    <col min="4107" max="4107" width="11.83203125" style="1280" bestFit="1" customWidth="1"/>
    <col min="4108" max="4108" width="9.33203125" style="1280" customWidth="1"/>
    <col min="4109" max="4109" width="11.83203125" style="1280" bestFit="1" customWidth="1"/>
    <col min="4110" max="4352" width="9.33203125" style="1280"/>
    <col min="4353" max="4353" width="6.83203125" style="1280" customWidth="1"/>
    <col min="4354" max="4354" width="49.6640625" style="1280" customWidth="1"/>
    <col min="4355" max="4356" width="12.83203125" style="1280" customWidth="1"/>
    <col min="4357" max="4357" width="14" style="1280" customWidth="1"/>
    <col min="4358" max="4359" width="15" style="1280" customWidth="1"/>
    <col min="4360" max="4360" width="14.6640625" style="1280" customWidth="1"/>
    <col min="4361" max="4361" width="13.83203125" style="1280" customWidth="1"/>
    <col min="4362" max="4362" width="9.33203125" style="1280" customWidth="1"/>
    <col min="4363" max="4363" width="11.83203125" style="1280" bestFit="1" customWidth="1"/>
    <col min="4364" max="4364" width="9.33203125" style="1280" customWidth="1"/>
    <col min="4365" max="4365" width="11.83203125" style="1280" bestFit="1" customWidth="1"/>
    <col min="4366" max="4608" width="9.33203125" style="1280"/>
    <col min="4609" max="4609" width="6.83203125" style="1280" customWidth="1"/>
    <col min="4610" max="4610" width="49.6640625" style="1280" customWidth="1"/>
    <col min="4611" max="4612" width="12.83203125" style="1280" customWidth="1"/>
    <col min="4613" max="4613" width="14" style="1280" customWidth="1"/>
    <col min="4614" max="4615" width="15" style="1280" customWidth="1"/>
    <col min="4616" max="4616" width="14.6640625" style="1280" customWidth="1"/>
    <col min="4617" max="4617" width="13.83203125" style="1280" customWidth="1"/>
    <col min="4618" max="4618" width="9.33203125" style="1280" customWidth="1"/>
    <col min="4619" max="4619" width="11.83203125" style="1280" bestFit="1" customWidth="1"/>
    <col min="4620" max="4620" width="9.33203125" style="1280" customWidth="1"/>
    <col min="4621" max="4621" width="11.83203125" style="1280" bestFit="1" customWidth="1"/>
    <col min="4622" max="4864" width="9.33203125" style="1280"/>
    <col min="4865" max="4865" width="6.83203125" style="1280" customWidth="1"/>
    <col min="4866" max="4866" width="49.6640625" style="1280" customWidth="1"/>
    <col min="4867" max="4868" width="12.83203125" style="1280" customWidth="1"/>
    <col min="4869" max="4869" width="14" style="1280" customWidth="1"/>
    <col min="4870" max="4871" width="15" style="1280" customWidth="1"/>
    <col min="4872" max="4872" width="14.6640625" style="1280" customWidth="1"/>
    <col min="4873" max="4873" width="13.83203125" style="1280" customWidth="1"/>
    <col min="4874" max="4874" width="9.33203125" style="1280" customWidth="1"/>
    <col min="4875" max="4875" width="11.83203125" style="1280" bestFit="1" customWidth="1"/>
    <col min="4876" max="4876" width="9.33203125" style="1280" customWidth="1"/>
    <col min="4877" max="4877" width="11.83203125" style="1280" bestFit="1" customWidth="1"/>
    <col min="4878" max="5120" width="9.33203125" style="1280"/>
    <col min="5121" max="5121" width="6.83203125" style="1280" customWidth="1"/>
    <col min="5122" max="5122" width="49.6640625" style="1280" customWidth="1"/>
    <col min="5123" max="5124" width="12.83203125" style="1280" customWidth="1"/>
    <col min="5125" max="5125" width="14" style="1280" customWidth="1"/>
    <col min="5126" max="5127" width="15" style="1280" customWidth="1"/>
    <col min="5128" max="5128" width="14.6640625" style="1280" customWidth="1"/>
    <col min="5129" max="5129" width="13.83203125" style="1280" customWidth="1"/>
    <col min="5130" max="5130" width="9.33203125" style="1280" customWidth="1"/>
    <col min="5131" max="5131" width="11.83203125" style="1280" bestFit="1" customWidth="1"/>
    <col min="5132" max="5132" width="9.33203125" style="1280" customWidth="1"/>
    <col min="5133" max="5133" width="11.83203125" style="1280" bestFit="1" customWidth="1"/>
    <col min="5134" max="5376" width="9.33203125" style="1280"/>
    <col min="5377" max="5377" width="6.83203125" style="1280" customWidth="1"/>
    <col min="5378" max="5378" width="49.6640625" style="1280" customWidth="1"/>
    <col min="5379" max="5380" width="12.83203125" style="1280" customWidth="1"/>
    <col min="5381" max="5381" width="14" style="1280" customWidth="1"/>
    <col min="5382" max="5383" width="15" style="1280" customWidth="1"/>
    <col min="5384" max="5384" width="14.6640625" style="1280" customWidth="1"/>
    <col min="5385" max="5385" width="13.83203125" style="1280" customWidth="1"/>
    <col min="5386" max="5386" width="9.33203125" style="1280" customWidth="1"/>
    <col min="5387" max="5387" width="11.83203125" style="1280" bestFit="1" customWidth="1"/>
    <col min="5388" max="5388" width="9.33203125" style="1280" customWidth="1"/>
    <col min="5389" max="5389" width="11.83203125" style="1280" bestFit="1" customWidth="1"/>
    <col min="5390" max="5632" width="9.33203125" style="1280"/>
    <col min="5633" max="5633" width="6.83203125" style="1280" customWidth="1"/>
    <col min="5634" max="5634" width="49.6640625" style="1280" customWidth="1"/>
    <col min="5635" max="5636" width="12.83203125" style="1280" customWidth="1"/>
    <col min="5637" max="5637" width="14" style="1280" customWidth="1"/>
    <col min="5638" max="5639" width="15" style="1280" customWidth="1"/>
    <col min="5640" max="5640" width="14.6640625" style="1280" customWidth="1"/>
    <col min="5641" max="5641" width="13.83203125" style="1280" customWidth="1"/>
    <col min="5642" max="5642" width="9.33203125" style="1280" customWidth="1"/>
    <col min="5643" max="5643" width="11.83203125" style="1280" bestFit="1" customWidth="1"/>
    <col min="5644" max="5644" width="9.33203125" style="1280" customWidth="1"/>
    <col min="5645" max="5645" width="11.83203125" style="1280" bestFit="1" customWidth="1"/>
    <col min="5646" max="5888" width="9.33203125" style="1280"/>
    <col min="5889" max="5889" width="6.83203125" style="1280" customWidth="1"/>
    <col min="5890" max="5890" width="49.6640625" style="1280" customWidth="1"/>
    <col min="5891" max="5892" width="12.83203125" style="1280" customWidth="1"/>
    <col min="5893" max="5893" width="14" style="1280" customWidth="1"/>
    <col min="5894" max="5895" width="15" style="1280" customWidth="1"/>
    <col min="5896" max="5896" width="14.6640625" style="1280" customWidth="1"/>
    <col min="5897" max="5897" width="13.83203125" style="1280" customWidth="1"/>
    <col min="5898" max="5898" width="9.33203125" style="1280" customWidth="1"/>
    <col min="5899" max="5899" width="11.83203125" style="1280" bestFit="1" customWidth="1"/>
    <col min="5900" max="5900" width="9.33203125" style="1280" customWidth="1"/>
    <col min="5901" max="5901" width="11.83203125" style="1280" bestFit="1" customWidth="1"/>
    <col min="5902" max="6144" width="9.33203125" style="1280"/>
    <col min="6145" max="6145" width="6.83203125" style="1280" customWidth="1"/>
    <col min="6146" max="6146" width="49.6640625" style="1280" customWidth="1"/>
    <col min="6147" max="6148" width="12.83203125" style="1280" customWidth="1"/>
    <col min="6149" max="6149" width="14" style="1280" customWidth="1"/>
    <col min="6150" max="6151" width="15" style="1280" customWidth="1"/>
    <col min="6152" max="6152" width="14.6640625" style="1280" customWidth="1"/>
    <col min="6153" max="6153" width="13.83203125" style="1280" customWidth="1"/>
    <col min="6154" max="6154" width="9.33203125" style="1280" customWidth="1"/>
    <col min="6155" max="6155" width="11.83203125" style="1280" bestFit="1" customWidth="1"/>
    <col min="6156" max="6156" width="9.33203125" style="1280" customWidth="1"/>
    <col min="6157" max="6157" width="11.83203125" style="1280" bestFit="1" customWidth="1"/>
    <col min="6158" max="6400" width="9.33203125" style="1280"/>
    <col min="6401" max="6401" width="6.83203125" style="1280" customWidth="1"/>
    <col min="6402" max="6402" width="49.6640625" style="1280" customWidth="1"/>
    <col min="6403" max="6404" width="12.83203125" style="1280" customWidth="1"/>
    <col min="6405" max="6405" width="14" style="1280" customWidth="1"/>
    <col min="6406" max="6407" width="15" style="1280" customWidth="1"/>
    <col min="6408" max="6408" width="14.6640625" style="1280" customWidth="1"/>
    <col min="6409" max="6409" width="13.83203125" style="1280" customWidth="1"/>
    <col min="6410" max="6410" width="9.33203125" style="1280" customWidth="1"/>
    <col min="6411" max="6411" width="11.83203125" style="1280" bestFit="1" customWidth="1"/>
    <col min="6412" max="6412" width="9.33203125" style="1280" customWidth="1"/>
    <col min="6413" max="6413" width="11.83203125" style="1280" bestFit="1" customWidth="1"/>
    <col min="6414" max="6656" width="9.33203125" style="1280"/>
    <col min="6657" max="6657" width="6.83203125" style="1280" customWidth="1"/>
    <col min="6658" max="6658" width="49.6640625" style="1280" customWidth="1"/>
    <col min="6659" max="6660" width="12.83203125" style="1280" customWidth="1"/>
    <col min="6661" max="6661" width="14" style="1280" customWidth="1"/>
    <col min="6662" max="6663" width="15" style="1280" customWidth="1"/>
    <col min="6664" max="6664" width="14.6640625" style="1280" customWidth="1"/>
    <col min="6665" max="6665" width="13.83203125" style="1280" customWidth="1"/>
    <col min="6666" max="6666" width="9.33203125" style="1280" customWidth="1"/>
    <col min="6667" max="6667" width="11.83203125" style="1280" bestFit="1" customWidth="1"/>
    <col min="6668" max="6668" width="9.33203125" style="1280" customWidth="1"/>
    <col min="6669" max="6669" width="11.83203125" style="1280" bestFit="1" customWidth="1"/>
    <col min="6670" max="6912" width="9.33203125" style="1280"/>
    <col min="6913" max="6913" width="6.83203125" style="1280" customWidth="1"/>
    <col min="6914" max="6914" width="49.6640625" style="1280" customWidth="1"/>
    <col min="6915" max="6916" width="12.83203125" style="1280" customWidth="1"/>
    <col min="6917" max="6917" width="14" style="1280" customWidth="1"/>
    <col min="6918" max="6919" width="15" style="1280" customWidth="1"/>
    <col min="6920" max="6920" width="14.6640625" style="1280" customWidth="1"/>
    <col min="6921" max="6921" width="13.83203125" style="1280" customWidth="1"/>
    <col min="6922" max="6922" width="9.33203125" style="1280" customWidth="1"/>
    <col min="6923" max="6923" width="11.83203125" style="1280" bestFit="1" customWidth="1"/>
    <col min="6924" max="6924" width="9.33203125" style="1280" customWidth="1"/>
    <col min="6925" max="6925" width="11.83203125" style="1280" bestFit="1" customWidth="1"/>
    <col min="6926" max="7168" width="9.33203125" style="1280"/>
    <col min="7169" max="7169" width="6.83203125" style="1280" customWidth="1"/>
    <col min="7170" max="7170" width="49.6640625" style="1280" customWidth="1"/>
    <col min="7171" max="7172" width="12.83203125" style="1280" customWidth="1"/>
    <col min="7173" max="7173" width="14" style="1280" customWidth="1"/>
    <col min="7174" max="7175" width="15" style="1280" customWidth="1"/>
    <col min="7176" max="7176" width="14.6640625" style="1280" customWidth="1"/>
    <col min="7177" max="7177" width="13.83203125" style="1280" customWidth="1"/>
    <col min="7178" max="7178" width="9.33203125" style="1280" customWidth="1"/>
    <col min="7179" max="7179" width="11.83203125" style="1280" bestFit="1" customWidth="1"/>
    <col min="7180" max="7180" width="9.33203125" style="1280" customWidth="1"/>
    <col min="7181" max="7181" width="11.83203125" style="1280" bestFit="1" customWidth="1"/>
    <col min="7182" max="7424" width="9.33203125" style="1280"/>
    <col min="7425" max="7425" width="6.83203125" style="1280" customWidth="1"/>
    <col min="7426" max="7426" width="49.6640625" style="1280" customWidth="1"/>
    <col min="7427" max="7428" width="12.83203125" style="1280" customWidth="1"/>
    <col min="7429" max="7429" width="14" style="1280" customWidth="1"/>
    <col min="7430" max="7431" width="15" style="1280" customWidth="1"/>
    <col min="7432" max="7432" width="14.6640625" style="1280" customWidth="1"/>
    <col min="7433" max="7433" width="13.83203125" style="1280" customWidth="1"/>
    <col min="7434" max="7434" width="9.33203125" style="1280" customWidth="1"/>
    <col min="7435" max="7435" width="11.83203125" style="1280" bestFit="1" customWidth="1"/>
    <col min="7436" max="7436" width="9.33203125" style="1280" customWidth="1"/>
    <col min="7437" max="7437" width="11.83203125" style="1280" bestFit="1" customWidth="1"/>
    <col min="7438" max="7680" width="9.33203125" style="1280"/>
    <col min="7681" max="7681" width="6.83203125" style="1280" customWidth="1"/>
    <col min="7682" max="7682" width="49.6640625" style="1280" customWidth="1"/>
    <col min="7683" max="7684" width="12.83203125" style="1280" customWidth="1"/>
    <col min="7685" max="7685" width="14" style="1280" customWidth="1"/>
    <col min="7686" max="7687" width="15" style="1280" customWidth="1"/>
    <col min="7688" max="7688" width="14.6640625" style="1280" customWidth="1"/>
    <col min="7689" max="7689" width="13.83203125" style="1280" customWidth="1"/>
    <col min="7690" max="7690" width="9.33203125" style="1280" customWidth="1"/>
    <col min="7691" max="7691" width="11.83203125" style="1280" bestFit="1" customWidth="1"/>
    <col min="7692" max="7692" width="9.33203125" style="1280" customWidth="1"/>
    <col min="7693" max="7693" width="11.83203125" style="1280" bestFit="1" customWidth="1"/>
    <col min="7694" max="7936" width="9.33203125" style="1280"/>
    <col min="7937" max="7937" width="6.83203125" style="1280" customWidth="1"/>
    <col min="7938" max="7938" width="49.6640625" style="1280" customWidth="1"/>
    <col min="7939" max="7940" width="12.83203125" style="1280" customWidth="1"/>
    <col min="7941" max="7941" width="14" style="1280" customWidth="1"/>
    <col min="7942" max="7943" width="15" style="1280" customWidth="1"/>
    <col min="7944" max="7944" width="14.6640625" style="1280" customWidth="1"/>
    <col min="7945" max="7945" width="13.83203125" style="1280" customWidth="1"/>
    <col min="7946" max="7946" width="9.33203125" style="1280" customWidth="1"/>
    <col min="7947" max="7947" width="11.83203125" style="1280" bestFit="1" customWidth="1"/>
    <col min="7948" max="7948" width="9.33203125" style="1280" customWidth="1"/>
    <col min="7949" max="7949" width="11.83203125" style="1280" bestFit="1" customWidth="1"/>
    <col min="7950" max="8192" width="9.33203125" style="1280"/>
    <col min="8193" max="8193" width="6.83203125" style="1280" customWidth="1"/>
    <col min="8194" max="8194" width="49.6640625" style="1280" customWidth="1"/>
    <col min="8195" max="8196" width="12.83203125" style="1280" customWidth="1"/>
    <col min="8197" max="8197" width="14" style="1280" customWidth="1"/>
    <col min="8198" max="8199" width="15" style="1280" customWidth="1"/>
    <col min="8200" max="8200" width="14.6640625" style="1280" customWidth="1"/>
    <col min="8201" max="8201" width="13.83203125" style="1280" customWidth="1"/>
    <col min="8202" max="8202" width="9.33203125" style="1280" customWidth="1"/>
    <col min="8203" max="8203" width="11.83203125" style="1280" bestFit="1" customWidth="1"/>
    <col min="8204" max="8204" width="9.33203125" style="1280" customWidth="1"/>
    <col min="8205" max="8205" width="11.83203125" style="1280" bestFit="1" customWidth="1"/>
    <col min="8206" max="8448" width="9.33203125" style="1280"/>
    <col min="8449" max="8449" width="6.83203125" style="1280" customWidth="1"/>
    <col min="8450" max="8450" width="49.6640625" style="1280" customWidth="1"/>
    <col min="8451" max="8452" width="12.83203125" style="1280" customWidth="1"/>
    <col min="8453" max="8453" width="14" style="1280" customWidth="1"/>
    <col min="8454" max="8455" width="15" style="1280" customWidth="1"/>
    <col min="8456" max="8456" width="14.6640625" style="1280" customWidth="1"/>
    <col min="8457" max="8457" width="13.83203125" style="1280" customWidth="1"/>
    <col min="8458" max="8458" width="9.33203125" style="1280" customWidth="1"/>
    <col min="8459" max="8459" width="11.83203125" style="1280" bestFit="1" customWidth="1"/>
    <col min="8460" max="8460" width="9.33203125" style="1280" customWidth="1"/>
    <col min="8461" max="8461" width="11.83203125" style="1280" bestFit="1" customWidth="1"/>
    <col min="8462" max="8704" width="9.33203125" style="1280"/>
    <col min="8705" max="8705" width="6.83203125" style="1280" customWidth="1"/>
    <col min="8706" max="8706" width="49.6640625" style="1280" customWidth="1"/>
    <col min="8707" max="8708" width="12.83203125" style="1280" customWidth="1"/>
    <col min="8709" max="8709" width="14" style="1280" customWidth="1"/>
    <col min="8710" max="8711" width="15" style="1280" customWidth="1"/>
    <col min="8712" max="8712" width="14.6640625" style="1280" customWidth="1"/>
    <col min="8713" max="8713" width="13.83203125" style="1280" customWidth="1"/>
    <col min="8714" max="8714" width="9.33203125" style="1280" customWidth="1"/>
    <col min="8715" max="8715" width="11.83203125" style="1280" bestFit="1" customWidth="1"/>
    <col min="8716" max="8716" width="9.33203125" style="1280" customWidth="1"/>
    <col min="8717" max="8717" width="11.83203125" style="1280" bestFit="1" customWidth="1"/>
    <col min="8718" max="8960" width="9.33203125" style="1280"/>
    <col min="8961" max="8961" width="6.83203125" style="1280" customWidth="1"/>
    <col min="8962" max="8962" width="49.6640625" style="1280" customWidth="1"/>
    <col min="8963" max="8964" width="12.83203125" style="1280" customWidth="1"/>
    <col min="8965" max="8965" width="14" style="1280" customWidth="1"/>
    <col min="8966" max="8967" width="15" style="1280" customWidth="1"/>
    <col min="8968" max="8968" width="14.6640625" style="1280" customWidth="1"/>
    <col min="8969" max="8969" width="13.83203125" style="1280" customWidth="1"/>
    <col min="8970" max="8970" width="9.33203125" style="1280" customWidth="1"/>
    <col min="8971" max="8971" width="11.83203125" style="1280" bestFit="1" customWidth="1"/>
    <col min="8972" max="8972" width="9.33203125" style="1280" customWidth="1"/>
    <col min="8973" max="8973" width="11.83203125" style="1280" bestFit="1" customWidth="1"/>
    <col min="8974" max="9216" width="9.33203125" style="1280"/>
    <col min="9217" max="9217" width="6.83203125" style="1280" customWidth="1"/>
    <col min="9218" max="9218" width="49.6640625" style="1280" customWidth="1"/>
    <col min="9219" max="9220" width="12.83203125" style="1280" customWidth="1"/>
    <col min="9221" max="9221" width="14" style="1280" customWidth="1"/>
    <col min="9222" max="9223" width="15" style="1280" customWidth="1"/>
    <col min="9224" max="9224" width="14.6640625" style="1280" customWidth="1"/>
    <col min="9225" max="9225" width="13.83203125" style="1280" customWidth="1"/>
    <col min="9226" max="9226" width="9.33203125" style="1280" customWidth="1"/>
    <col min="9227" max="9227" width="11.83203125" style="1280" bestFit="1" customWidth="1"/>
    <col min="9228" max="9228" width="9.33203125" style="1280" customWidth="1"/>
    <col min="9229" max="9229" width="11.83203125" style="1280" bestFit="1" customWidth="1"/>
    <col min="9230" max="9472" width="9.33203125" style="1280"/>
    <col min="9473" max="9473" width="6.83203125" style="1280" customWidth="1"/>
    <col min="9474" max="9474" width="49.6640625" style="1280" customWidth="1"/>
    <col min="9475" max="9476" width="12.83203125" style="1280" customWidth="1"/>
    <col min="9477" max="9477" width="14" style="1280" customWidth="1"/>
    <col min="9478" max="9479" width="15" style="1280" customWidth="1"/>
    <col min="9480" max="9480" width="14.6640625" style="1280" customWidth="1"/>
    <col min="9481" max="9481" width="13.83203125" style="1280" customWidth="1"/>
    <col min="9482" max="9482" width="9.33203125" style="1280" customWidth="1"/>
    <col min="9483" max="9483" width="11.83203125" style="1280" bestFit="1" customWidth="1"/>
    <col min="9484" max="9484" width="9.33203125" style="1280" customWidth="1"/>
    <col min="9485" max="9485" width="11.83203125" style="1280" bestFit="1" customWidth="1"/>
    <col min="9486" max="9728" width="9.33203125" style="1280"/>
    <col min="9729" max="9729" width="6.83203125" style="1280" customWidth="1"/>
    <col min="9730" max="9730" width="49.6640625" style="1280" customWidth="1"/>
    <col min="9731" max="9732" width="12.83203125" style="1280" customWidth="1"/>
    <col min="9733" max="9733" width="14" style="1280" customWidth="1"/>
    <col min="9734" max="9735" width="15" style="1280" customWidth="1"/>
    <col min="9736" max="9736" width="14.6640625" style="1280" customWidth="1"/>
    <col min="9737" max="9737" width="13.83203125" style="1280" customWidth="1"/>
    <col min="9738" max="9738" width="9.33203125" style="1280" customWidth="1"/>
    <col min="9739" max="9739" width="11.83203125" style="1280" bestFit="1" customWidth="1"/>
    <col min="9740" max="9740" width="9.33203125" style="1280" customWidth="1"/>
    <col min="9741" max="9741" width="11.83203125" style="1280" bestFit="1" customWidth="1"/>
    <col min="9742" max="9984" width="9.33203125" style="1280"/>
    <col min="9985" max="9985" width="6.83203125" style="1280" customWidth="1"/>
    <col min="9986" max="9986" width="49.6640625" style="1280" customWidth="1"/>
    <col min="9987" max="9988" width="12.83203125" style="1280" customWidth="1"/>
    <col min="9989" max="9989" width="14" style="1280" customWidth="1"/>
    <col min="9990" max="9991" width="15" style="1280" customWidth="1"/>
    <col min="9992" max="9992" width="14.6640625" style="1280" customWidth="1"/>
    <col min="9993" max="9993" width="13.83203125" style="1280" customWidth="1"/>
    <col min="9994" max="9994" width="9.33203125" style="1280" customWidth="1"/>
    <col min="9995" max="9995" width="11.83203125" style="1280" bestFit="1" customWidth="1"/>
    <col min="9996" max="9996" width="9.33203125" style="1280" customWidth="1"/>
    <col min="9997" max="9997" width="11.83203125" style="1280" bestFit="1" customWidth="1"/>
    <col min="9998" max="10240" width="9.33203125" style="1280"/>
    <col min="10241" max="10241" width="6.83203125" style="1280" customWidth="1"/>
    <col min="10242" max="10242" width="49.6640625" style="1280" customWidth="1"/>
    <col min="10243" max="10244" width="12.83203125" style="1280" customWidth="1"/>
    <col min="10245" max="10245" width="14" style="1280" customWidth="1"/>
    <col min="10246" max="10247" width="15" style="1280" customWidth="1"/>
    <col min="10248" max="10248" width="14.6640625" style="1280" customWidth="1"/>
    <col min="10249" max="10249" width="13.83203125" style="1280" customWidth="1"/>
    <col min="10250" max="10250" width="9.33203125" style="1280" customWidth="1"/>
    <col min="10251" max="10251" width="11.83203125" style="1280" bestFit="1" customWidth="1"/>
    <col min="10252" max="10252" width="9.33203125" style="1280" customWidth="1"/>
    <col min="10253" max="10253" width="11.83203125" style="1280" bestFit="1" customWidth="1"/>
    <col min="10254" max="10496" width="9.33203125" style="1280"/>
    <col min="10497" max="10497" width="6.83203125" style="1280" customWidth="1"/>
    <col min="10498" max="10498" width="49.6640625" style="1280" customWidth="1"/>
    <col min="10499" max="10500" width="12.83203125" style="1280" customWidth="1"/>
    <col min="10501" max="10501" width="14" style="1280" customWidth="1"/>
    <col min="10502" max="10503" width="15" style="1280" customWidth="1"/>
    <col min="10504" max="10504" width="14.6640625" style="1280" customWidth="1"/>
    <col min="10505" max="10505" width="13.83203125" style="1280" customWidth="1"/>
    <col min="10506" max="10506" width="9.33203125" style="1280" customWidth="1"/>
    <col min="10507" max="10507" width="11.83203125" style="1280" bestFit="1" customWidth="1"/>
    <col min="10508" max="10508" width="9.33203125" style="1280" customWidth="1"/>
    <col min="10509" max="10509" width="11.83203125" style="1280" bestFit="1" customWidth="1"/>
    <col min="10510" max="10752" width="9.33203125" style="1280"/>
    <col min="10753" max="10753" width="6.83203125" style="1280" customWidth="1"/>
    <col min="10754" max="10754" width="49.6640625" style="1280" customWidth="1"/>
    <col min="10755" max="10756" width="12.83203125" style="1280" customWidth="1"/>
    <col min="10757" max="10757" width="14" style="1280" customWidth="1"/>
    <col min="10758" max="10759" width="15" style="1280" customWidth="1"/>
    <col min="10760" max="10760" width="14.6640625" style="1280" customWidth="1"/>
    <col min="10761" max="10761" width="13.83203125" style="1280" customWidth="1"/>
    <col min="10762" max="10762" width="9.33203125" style="1280" customWidth="1"/>
    <col min="10763" max="10763" width="11.83203125" style="1280" bestFit="1" customWidth="1"/>
    <col min="10764" max="10764" width="9.33203125" style="1280" customWidth="1"/>
    <col min="10765" max="10765" width="11.83203125" style="1280" bestFit="1" customWidth="1"/>
    <col min="10766" max="11008" width="9.33203125" style="1280"/>
    <col min="11009" max="11009" width="6.83203125" style="1280" customWidth="1"/>
    <col min="11010" max="11010" width="49.6640625" style="1280" customWidth="1"/>
    <col min="11011" max="11012" width="12.83203125" style="1280" customWidth="1"/>
    <col min="11013" max="11013" width="14" style="1280" customWidth="1"/>
    <col min="11014" max="11015" width="15" style="1280" customWidth="1"/>
    <col min="11016" max="11016" width="14.6640625" style="1280" customWidth="1"/>
    <col min="11017" max="11017" width="13.83203125" style="1280" customWidth="1"/>
    <col min="11018" max="11018" width="9.33203125" style="1280" customWidth="1"/>
    <col min="11019" max="11019" width="11.83203125" style="1280" bestFit="1" customWidth="1"/>
    <col min="11020" max="11020" width="9.33203125" style="1280" customWidth="1"/>
    <col min="11021" max="11021" width="11.83203125" style="1280" bestFit="1" customWidth="1"/>
    <col min="11022" max="11264" width="9.33203125" style="1280"/>
    <col min="11265" max="11265" width="6.83203125" style="1280" customWidth="1"/>
    <col min="11266" max="11266" width="49.6640625" style="1280" customWidth="1"/>
    <col min="11267" max="11268" width="12.83203125" style="1280" customWidth="1"/>
    <col min="11269" max="11269" width="14" style="1280" customWidth="1"/>
    <col min="11270" max="11271" width="15" style="1280" customWidth="1"/>
    <col min="11272" max="11272" width="14.6640625" style="1280" customWidth="1"/>
    <col min="11273" max="11273" width="13.83203125" style="1280" customWidth="1"/>
    <col min="11274" max="11274" width="9.33203125" style="1280" customWidth="1"/>
    <col min="11275" max="11275" width="11.83203125" style="1280" bestFit="1" customWidth="1"/>
    <col min="11276" max="11276" width="9.33203125" style="1280" customWidth="1"/>
    <col min="11277" max="11277" width="11.83203125" style="1280" bestFit="1" customWidth="1"/>
    <col min="11278" max="11520" width="9.33203125" style="1280"/>
    <col min="11521" max="11521" width="6.83203125" style="1280" customWidth="1"/>
    <col min="11522" max="11522" width="49.6640625" style="1280" customWidth="1"/>
    <col min="11523" max="11524" width="12.83203125" style="1280" customWidth="1"/>
    <col min="11525" max="11525" width="14" style="1280" customWidth="1"/>
    <col min="11526" max="11527" width="15" style="1280" customWidth="1"/>
    <col min="11528" max="11528" width="14.6640625" style="1280" customWidth="1"/>
    <col min="11529" max="11529" width="13.83203125" style="1280" customWidth="1"/>
    <col min="11530" max="11530" width="9.33203125" style="1280" customWidth="1"/>
    <col min="11531" max="11531" width="11.83203125" style="1280" bestFit="1" customWidth="1"/>
    <col min="11532" max="11532" width="9.33203125" style="1280" customWidth="1"/>
    <col min="11533" max="11533" width="11.83203125" style="1280" bestFit="1" customWidth="1"/>
    <col min="11534" max="11776" width="9.33203125" style="1280"/>
    <col min="11777" max="11777" width="6.83203125" style="1280" customWidth="1"/>
    <col min="11778" max="11778" width="49.6640625" style="1280" customWidth="1"/>
    <col min="11779" max="11780" width="12.83203125" style="1280" customWidth="1"/>
    <col min="11781" max="11781" width="14" style="1280" customWidth="1"/>
    <col min="11782" max="11783" width="15" style="1280" customWidth="1"/>
    <col min="11784" max="11784" width="14.6640625" style="1280" customWidth="1"/>
    <col min="11785" max="11785" width="13.83203125" style="1280" customWidth="1"/>
    <col min="11786" max="11786" width="9.33203125" style="1280" customWidth="1"/>
    <col min="11787" max="11787" width="11.83203125" style="1280" bestFit="1" customWidth="1"/>
    <col min="11788" max="11788" width="9.33203125" style="1280" customWidth="1"/>
    <col min="11789" max="11789" width="11.83203125" style="1280" bestFit="1" customWidth="1"/>
    <col min="11790" max="12032" width="9.33203125" style="1280"/>
    <col min="12033" max="12033" width="6.83203125" style="1280" customWidth="1"/>
    <col min="12034" max="12034" width="49.6640625" style="1280" customWidth="1"/>
    <col min="12035" max="12036" width="12.83203125" style="1280" customWidth="1"/>
    <col min="12037" max="12037" width="14" style="1280" customWidth="1"/>
    <col min="12038" max="12039" width="15" style="1280" customWidth="1"/>
    <col min="12040" max="12040" width="14.6640625" style="1280" customWidth="1"/>
    <col min="12041" max="12041" width="13.83203125" style="1280" customWidth="1"/>
    <col min="12042" max="12042" width="9.33203125" style="1280" customWidth="1"/>
    <col min="12043" max="12043" width="11.83203125" style="1280" bestFit="1" customWidth="1"/>
    <col min="12044" max="12044" width="9.33203125" style="1280" customWidth="1"/>
    <col min="12045" max="12045" width="11.83203125" style="1280" bestFit="1" customWidth="1"/>
    <col min="12046" max="12288" width="9.33203125" style="1280"/>
    <col min="12289" max="12289" width="6.83203125" style="1280" customWidth="1"/>
    <col min="12290" max="12290" width="49.6640625" style="1280" customWidth="1"/>
    <col min="12291" max="12292" width="12.83203125" style="1280" customWidth="1"/>
    <col min="12293" max="12293" width="14" style="1280" customWidth="1"/>
    <col min="12294" max="12295" width="15" style="1280" customWidth="1"/>
    <col min="12296" max="12296" width="14.6640625" style="1280" customWidth="1"/>
    <col min="12297" max="12297" width="13.83203125" style="1280" customWidth="1"/>
    <col min="12298" max="12298" width="9.33203125" style="1280" customWidth="1"/>
    <col min="12299" max="12299" width="11.83203125" style="1280" bestFit="1" customWidth="1"/>
    <col min="12300" max="12300" width="9.33203125" style="1280" customWidth="1"/>
    <col min="12301" max="12301" width="11.83203125" style="1280" bestFit="1" customWidth="1"/>
    <col min="12302" max="12544" width="9.33203125" style="1280"/>
    <col min="12545" max="12545" width="6.83203125" style="1280" customWidth="1"/>
    <col min="12546" max="12546" width="49.6640625" style="1280" customWidth="1"/>
    <col min="12547" max="12548" width="12.83203125" style="1280" customWidth="1"/>
    <col min="12549" max="12549" width="14" style="1280" customWidth="1"/>
    <col min="12550" max="12551" width="15" style="1280" customWidth="1"/>
    <col min="12552" max="12552" width="14.6640625" style="1280" customWidth="1"/>
    <col min="12553" max="12553" width="13.83203125" style="1280" customWidth="1"/>
    <col min="12554" max="12554" width="9.33203125" style="1280" customWidth="1"/>
    <col min="12555" max="12555" width="11.83203125" style="1280" bestFit="1" customWidth="1"/>
    <col min="12556" max="12556" width="9.33203125" style="1280" customWidth="1"/>
    <col min="12557" max="12557" width="11.83203125" style="1280" bestFit="1" customWidth="1"/>
    <col min="12558" max="12800" width="9.33203125" style="1280"/>
    <col min="12801" max="12801" width="6.83203125" style="1280" customWidth="1"/>
    <col min="12802" max="12802" width="49.6640625" style="1280" customWidth="1"/>
    <col min="12803" max="12804" width="12.83203125" style="1280" customWidth="1"/>
    <col min="12805" max="12805" width="14" style="1280" customWidth="1"/>
    <col min="12806" max="12807" width="15" style="1280" customWidth="1"/>
    <col min="12808" max="12808" width="14.6640625" style="1280" customWidth="1"/>
    <col min="12809" max="12809" width="13.83203125" style="1280" customWidth="1"/>
    <col min="12810" max="12810" width="9.33203125" style="1280" customWidth="1"/>
    <col min="12811" max="12811" width="11.83203125" style="1280" bestFit="1" customWidth="1"/>
    <col min="12812" max="12812" width="9.33203125" style="1280" customWidth="1"/>
    <col min="12813" max="12813" width="11.83203125" style="1280" bestFit="1" customWidth="1"/>
    <col min="12814" max="13056" width="9.33203125" style="1280"/>
    <col min="13057" max="13057" width="6.83203125" style="1280" customWidth="1"/>
    <col min="13058" max="13058" width="49.6640625" style="1280" customWidth="1"/>
    <col min="13059" max="13060" width="12.83203125" style="1280" customWidth="1"/>
    <col min="13061" max="13061" width="14" style="1280" customWidth="1"/>
    <col min="13062" max="13063" width="15" style="1280" customWidth="1"/>
    <col min="13064" max="13064" width="14.6640625" style="1280" customWidth="1"/>
    <col min="13065" max="13065" width="13.83203125" style="1280" customWidth="1"/>
    <col min="13066" max="13066" width="9.33203125" style="1280" customWidth="1"/>
    <col min="13067" max="13067" width="11.83203125" style="1280" bestFit="1" customWidth="1"/>
    <col min="13068" max="13068" width="9.33203125" style="1280" customWidth="1"/>
    <col min="13069" max="13069" width="11.83203125" style="1280" bestFit="1" customWidth="1"/>
    <col min="13070" max="13312" width="9.33203125" style="1280"/>
    <col min="13313" max="13313" width="6.83203125" style="1280" customWidth="1"/>
    <col min="13314" max="13314" width="49.6640625" style="1280" customWidth="1"/>
    <col min="13315" max="13316" width="12.83203125" style="1280" customWidth="1"/>
    <col min="13317" max="13317" width="14" style="1280" customWidth="1"/>
    <col min="13318" max="13319" width="15" style="1280" customWidth="1"/>
    <col min="13320" max="13320" width="14.6640625" style="1280" customWidth="1"/>
    <col min="13321" max="13321" width="13.83203125" style="1280" customWidth="1"/>
    <col min="13322" max="13322" width="9.33203125" style="1280" customWidth="1"/>
    <col min="13323" max="13323" width="11.83203125" style="1280" bestFit="1" customWidth="1"/>
    <col min="13324" max="13324" width="9.33203125" style="1280" customWidth="1"/>
    <col min="13325" max="13325" width="11.83203125" style="1280" bestFit="1" customWidth="1"/>
    <col min="13326" max="13568" width="9.33203125" style="1280"/>
    <col min="13569" max="13569" width="6.83203125" style="1280" customWidth="1"/>
    <col min="13570" max="13570" width="49.6640625" style="1280" customWidth="1"/>
    <col min="13571" max="13572" width="12.83203125" style="1280" customWidth="1"/>
    <col min="13573" max="13573" width="14" style="1280" customWidth="1"/>
    <col min="13574" max="13575" width="15" style="1280" customWidth="1"/>
    <col min="13576" max="13576" width="14.6640625" style="1280" customWidth="1"/>
    <col min="13577" max="13577" width="13.83203125" style="1280" customWidth="1"/>
    <col min="13578" max="13578" width="9.33203125" style="1280" customWidth="1"/>
    <col min="13579" max="13579" width="11.83203125" style="1280" bestFit="1" customWidth="1"/>
    <col min="13580" max="13580" width="9.33203125" style="1280" customWidth="1"/>
    <col min="13581" max="13581" width="11.83203125" style="1280" bestFit="1" customWidth="1"/>
    <col min="13582" max="13824" width="9.33203125" style="1280"/>
    <col min="13825" max="13825" width="6.83203125" style="1280" customWidth="1"/>
    <col min="13826" max="13826" width="49.6640625" style="1280" customWidth="1"/>
    <col min="13827" max="13828" width="12.83203125" style="1280" customWidth="1"/>
    <col min="13829" max="13829" width="14" style="1280" customWidth="1"/>
    <col min="13830" max="13831" width="15" style="1280" customWidth="1"/>
    <col min="13832" max="13832" width="14.6640625" style="1280" customWidth="1"/>
    <col min="13833" max="13833" width="13.83203125" style="1280" customWidth="1"/>
    <col min="13834" max="13834" width="9.33203125" style="1280" customWidth="1"/>
    <col min="13835" max="13835" width="11.83203125" style="1280" bestFit="1" customWidth="1"/>
    <col min="13836" max="13836" width="9.33203125" style="1280" customWidth="1"/>
    <col min="13837" max="13837" width="11.83203125" style="1280" bestFit="1" customWidth="1"/>
    <col min="13838" max="14080" width="9.33203125" style="1280"/>
    <col min="14081" max="14081" width="6.83203125" style="1280" customWidth="1"/>
    <col min="14082" max="14082" width="49.6640625" style="1280" customWidth="1"/>
    <col min="14083" max="14084" width="12.83203125" style="1280" customWidth="1"/>
    <col min="14085" max="14085" width="14" style="1280" customWidth="1"/>
    <col min="14086" max="14087" width="15" style="1280" customWidth="1"/>
    <col min="14088" max="14088" width="14.6640625" style="1280" customWidth="1"/>
    <col min="14089" max="14089" width="13.83203125" style="1280" customWidth="1"/>
    <col min="14090" max="14090" width="9.33203125" style="1280" customWidth="1"/>
    <col min="14091" max="14091" width="11.83203125" style="1280" bestFit="1" customWidth="1"/>
    <col min="14092" max="14092" width="9.33203125" style="1280" customWidth="1"/>
    <col min="14093" max="14093" width="11.83203125" style="1280" bestFit="1" customWidth="1"/>
    <col min="14094" max="14336" width="9.33203125" style="1280"/>
    <col min="14337" max="14337" width="6.83203125" style="1280" customWidth="1"/>
    <col min="14338" max="14338" width="49.6640625" style="1280" customWidth="1"/>
    <col min="14339" max="14340" width="12.83203125" style="1280" customWidth="1"/>
    <col min="14341" max="14341" width="14" style="1280" customWidth="1"/>
    <col min="14342" max="14343" width="15" style="1280" customWidth="1"/>
    <col min="14344" max="14344" width="14.6640625" style="1280" customWidth="1"/>
    <col min="14345" max="14345" width="13.83203125" style="1280" customWidth="1"/>
    <col min="14346" max="14346" width="9.33203125" style="1280" customWidth="1"/>
    <col min="14347" max="14347" width="11.83203125" style="1280" bestFit="1" customWidth="1"/>
    <col min="14348" max="14348" width="9.33203125" style="1280" customWidth="1"/>
    <col min="14349" max="14349" width="11.83203125" style="1280" bestFit="1" customWidth="1"/>
    <col min="14350" max="14592" width="9.33203125" style="1280"/>
    <col min="14593" max="14593" width="6.83203125" style="1280" customWidth="1"/>
    <col min="14594" max="14594" width="49.6640625" style="1280" customWidth="1"/>
    <col min="14595" max="14596" width="12.83203125" style="1280" customWidth="1"/>
    <col min="14597" max="14597" width="14" style="1280" customWidth="1"/>
    <col min="14598" max="14599" width="15" style="1280" customWidth="1"/>
    <col min="14600" max="14600" width="14.6640625" style="1280" customWidth="1"/>
    <col min="14601" max="14601" width="13.83203125" style="1280" customWidth="1"/>
    <col min="14602" max="14602" width="9.33203125" style="1280" customWidth="1"/>
    <col min="14603" max="14603" width="11.83203125" style="1280" bestFit="1" customWidth="1"/>
    <col min="14604" max="14604" width="9.33203125" style="1280" customWidth="1"/>
    <col min="14605" max="14605" width="11.83203125" style="1280" bestFit="1" customWidth="1"/>
    <col min="14606" max="14848" width="9.33203125" style="1280"/>
    <col min="14849" max="14849" width="6.83203125" style="1280" customWidth="1"/>
    <col min="14850" max="14850" width="49.6640625" style="1280" customWidth="1"/>
    <col min="14851" max="14852" width="12.83203125" style="1280" customWidth="1"/>
    <col min="14853" max="14853" width="14" style="1280" customWidth="1"/>
    <col min="14854" max="14855" width="15" style="1280" customWidth="1"/>
    <col min="14856" max="14856" width="14.6640625" style="1280" customWidth="1"/>
    <col min="14857" max="14857" width="13.83203125" style="1280" customWidth="1"/>
    <col min="14858" max="14858" width="9.33203125" style="1280" customWidth="1"/>
    <col min="14859" max="14859" width="11.83203125" style="1280" bestFit="1" customWidth="1"/>
    <col min="14860" max="14860" width="9.33203125" style="1280" customWidth="1"/>
    <col min="14861" max="14861" width="11.83203125" style="1280" bestFit="1" customWidth="1"/>
    <col min="14862" max="15104" width="9.33203125" style="1280"/>
    <col min="15105" max="15105" width="6.83203125" style="1280" customWidth="1"/>
    <col min="15106" max="15106" width="49.6640625" style="1280" customWidth="1"/>
    <col min="15107" max="15108" width="12.83203125" style="1280" customWidth="1"/>
    <col min="15109" max="15109" width="14" style="1280" customWidth="1"/>
    <col min="15110" max="15111" width="15" style="1280" customWidth="1"/>
    <col min="15112" max="15112" width="14.6640625" style="1280" customWidth="1"/>
    <col min="15113" max="15113" width="13.83203125" style="1280" customWidth="1"/>
    <col min="15114" max="15114" width="9.33203125" style="1280" customWidth="1"/>
    <col min="15115" max="15115" width="11.83203125" style="1280" bestFit="1" customWidth="1"/>
    <col min="15116" max="15116" width="9.33203125" style="1280" customWidth="1"/>
    <col min="15117" max="15117" width="11.83203125" style="1280" bestFit="1" customWidth="1"/>
    <col min="15118" max="15360" width="9.33203125" style="1280"/>
    <col min="15361" max="15361" width="6.83203125" style="1280" customWidth="1"/>
    <col min="15362" max="15362" width="49.6640625" style="1280" customWidth="1"/>
    <col min="15363" max="15364" width="12.83203125" style="1280" customWidth="1"/>
    <col min="15365" max="15365" width="14" style="1280" customWidth="1"/>
    <col min="15366" max="15367" width="15" style="1280" customWidth="1"/>
    <col min="15368" max="15368" width="14.6640625" style="1280" customWidth="1"/>
    <col min="15369" max="15369" width="13.83203125" style="1280" customWidth="1"/>
    <col min="15370" max="15370" width="9.33203125" style="1280" customWidth="1"/>
    <col min="15371" max="15371" width="11.83203125" style="1280" bestFit="1" customWidth="1"/>
    <col min="15372" max="15372" width="9.33203125" style="1280" customWidth="1"/>
    <col min="15373" max="15373" width="11.83203125" style="1280" bestFit="1" customWidth="1"/>
    <col min="15374" max="15616" width="9.33203125" style="1280"/>
    <col min="15617" max="15617" width="6.83203125" style="1280" customWidth="1"/>
    <col min="15618" max="15618" width="49.6640625" style="1280" customWidth="1"/>
    <col min="15619" max="15620" width="12.83203125" style="1280" customWidth="1"/>
    <col min="15621" max="15621" width="14" style="1280" customWidth="1"/>
    <col min="15622" max="15623" width="15" style="1280" customWidth="1"/>
    <col min="15624" max="15624" width="14.6640625" style="1280" customWidth="1"/>
    <col min="15625" max="15625" width="13.83203125" style="1280" customWidth="1"/>
    <col min="15626" max="15626" width="9.33203125" style="1280" customWidth="1"/>
    <col min="15627" max="15627" width="11.83203125" style="1280" bestFit="1" customWidth="1"/>
    <col min="15628" max="15628" width="9.33203125" style="1280" customWidth="1"/>
    <col min="15629" max="15629" width="11.83203125" style="1280" bestFit="1" customWidth="1"/>
    <col min="15630" max="15872" width="9.33203125" style="1280"/>
    <col min="15873" max="15873" width="6.83203125" style="1280" customWidth="1"/>
    <col min="15874" max="15874" width="49.6640625" style="1280" customWidth="1"/>
    <col min="15875" max="15876" width="12.83203125" style="1280" customWidth="1"/>
    <col min="15877" max="15877" width="14" style="1280" customWidth="1"/>
    <col min="15878" max="15879" width="15" style="1280" customWidth="1"/>
    <col min="15880" max="15880" width="14.6640625" style="1280" customWidth="1"/>
    <col min="15881" max="15881" width="13.83203125" style="1280" customWidth="1"/>
    <col min="15882" max="15882" width="9.33203125" style="1280" customWidth="1"/>
    <col min="15883" max="15883" width="11.83203125" style="1280" bestFit="1" customWidth="1"/>
    <col min="15884" max="15884" width="9.33203125" style="1280" customWidth="1"/>
    <col min="15885" max="15885" width="11.83203125" style="1280" bestFit="1" customWidth="1"/>
    <col min="15886" max="16128" width="9.33203125" style="1280"/>
    <col min="16129" max="16129" width="6.83203125" style="1280" customWidth="1"/>
    <col min="16130" max="16130" width="49.6640625" style="1280" customWidth="1"/>
    <col min="16131" max="16132" width="12.83203125" style="1280" customWidth="1"/>
    <col min="16133" max="16133" width="14" style="1280" customWidth="1"/>
    <col min="16134" max="16135" width="15" style="1280" customWidth="1"/>
    <col min="16136" max="16136" width="14.6640625" style="1280" customWidth="1"/>
    <col min="16137" max="16137" width="13.83203125" style="1280" customWidth="1"/>
    <col min="16138" max="16138" width="9.33203125" style="1280" customWidth="1"/>
    <col min="16139" max="16139" width="11.83203125" style="1280" bestFit="1" customWidth="1"/>
    <col min="16140" max="16140" width="9.33203125" style="1280" customWidth="1"/>
    <col min="16141" max="16141" width="11.83203125" style="1280" bestFit="1" customWidth="1"/>
    <col min="16142" max="16384" width="9.33203125" style="1280"/>
  </cols>
  <sheetData>
    <row r="1" spans="1:10" ht="15" customHeight="1" thickBot="1" x14ac:dyDescent="0.3">
      <c r="I1" s="1281" t="s">
        <v>1736</v>
      </c>
    </row>
    <row r="2" spans="1:10" s="1245" customFormat="1" ht="26.25" customHeight="1" x14ac:dyDescent="0.2">
      <c r="A2" s="1671" t="s">
        <v>197</v>
      </c>
      <c r="B2" s="1673" t="s">
        <v>1268</v>
      </c>
      <c r="C2" s="1671" t="s">
        <v>1269</v>
      </c>
      <c r="D2" s="1671" t="s">
        <v>1505</v>
      </c>
      <c r="E2" s="1675"/>
      <c r="F2" s="1675"/>
      <c r="G2" s="1675"/>
      <c r="H2" s="1676"/>
      <c r="I2" s="1673" t="s">
        <v>1270</v>
      </c>
    </row>
    <row r="3" spans="1:10" s="1248" customFormat="1" ht="38.25" customHeight="1" thickBot="1" x14ac:dyDescent="0.25">
      <c r="A3" s="1672"/>
      <c r="B3" s="1674"/>
      <c r="C3" s="1674"/>
      <c r="D3" s="1672"/>
      <c r="E3" s="1246">
        <v>2013</v>
      </c>
      <c r="F3" s="1246">
        <v>2014</v>
      </c>
      <c r="G3" s="1246">
        <v>2015</v>
      </c>
      <c r="H3" s="1247" t="s">
        <v>1503</v>
      </c>
      <c r="I3" s="1674"/>
    </row>
    <row r="4" spans="1:10" s="1253" customFormat="1" ht="36.75" customHeight="1" thickBot="1" x14ac:dyDescent="0.25">
      <c r="A4" s="1249">
        <v>1</v>
      </c>
      <c r="B4" s="1250">
        <v>2</v>
      </c>
      <c r="C4" s="1251">
        <v>3</v>
      </c>
      <c r="D4" s="1250">
        <v>4</v>
      </c>
      <c r="E4" s="1249">
        <v>5</v>
      </c>
      <c r="F4" s="1251">
        <v>6</v>
      </c>
      <c r="G4" s="1251">
        <v>7</v>
      </c>
      <c r="H4" s="1252">
        <v>8</v>
      </c>
      <c r="I4" s="1282" t="s">
        <v>1271</v>
      </c>
    </row>
    <row r="5" spans="1:10" s="1261" customFormat="1" ht="30" customHeight="1" thickBot="1" x14ac:dyDescent="0.25">
      <c r="A5" s="1254" t="s">
        <v>5</v>
      </c>
      <c r="B5" s="1255" t="s">
        <v>1272</v>
      </c>
      <c r="C5" s="1283"/>
      <c r="D5" s="1284">
        <f>SUM(D6:D6)</f>
        <v>0</v>
      </c>
      <c r="E5" s="1285">
        <f>SUM(E6:E6)</f>
        <v>0</v>
      </c>
      <c r="F5" s="1285">
        <f>SUM(F6:F6)</f>
        <v>0</v>
      </c>
      <c r="G5" s="1286"/>
      <c r="H5" s="1287">
        <f>SUM(H6:H6)</f>
        <v>0</v>
      </c>
      <c r="I5" s="1288">
        <f t="shared" ref="I5:I10" si="0">SUM(D5:H5)</f>
        <v>0</v>
      </c>
    </row>
    <row r="6" spans="1:10" s="1261" customFormat="1" ht="20.100000000000001" customHeight="1" thickBot="1" x14ac:dyDescent="0.25">
      <c r="A6" s="1262" t="s">
        <v>6</v>
      </c>
      <c r="B6" s="1263"/>
      <c r="C6" s="1265"/>
      <c r="D6" s="1289"/>
      <c r="E6" s="1267"/>
      <c r="F6" s="1267"/>
      <c r="G6" s="1290"/>
      <c r="H6" s="1268"/>
      <c r="I6" s="1291">
        <f t="shared" si="0"/>
        <v>0</v>
      </c>
    </row>
    <row r="7" spans="1:10" s="1261" customFormat="1" ht="33" customHeight="1" thickBot="1" x14ac:dyDescent="0.25">
      <c r="A7" s="1254" t="s">
        <v>20</v>
      </c>
      <c r="B7" s="1292" t="s">
        <v>1273</v>
      </c>
      <c r="C7" s="1316"/>
      <c r="D7" s="1317">
        <f>SUM(D8:D12)</f>
        <v>343336</v>
      </c>
      <c r="E7" s="1311">
        <f>SUM(E8:E12)</f>
        <v>108500</v>
      </c>
      <c r="F7" s="1304">
        <f>SUM(F8:F12)</f>
        <v>170082</v>
      </c>
      <c r="G7" s="1304">
        <f>SUM(G8:G12)</f>
        <v>170082</v>
      </c>
      <c r="H7" s="1304">
        <f>SUM(H8:H12)</f>
        <v>1865497</v>
      </c>
      <c r="I7" s="1308">
        <f t="shared" si="0"/>
        <v>2657497</v>
      </c>
    </row>
    <row r="8" spans="1:10" s="1261" customFormat="1" ht="35.25" customHeight="1" thickBot="1" x14ac:dyDescent="0.25">
      <c r="A8" s="1254" t="s">
        <v>150</v>
      </c>
      <c r="B8" s="1293" t="s">
        <v>1240</v>
      </c>
      <c r="C8" s="1318">
        <v>2010</v>
      </c>
      <c r="D8" s="1294">
        <v>16535</v>
      </c>
      <c r="E8" s="1312">
        <v>13950</v>
      </c>
      <c r="F8" s="1305">
        <v>20596</v>
      </c>
      <c r="G8" s="1305">
        <v>20596</v>
      </c>
      <c r="H8" s="1305">
        <v>168111</v>
      </c>
      <c r="I8" s="1309">
        <f>SUM(D8:H8)</f>
        <v>239788</v>
      </c>
    </row>
    <row r="9" spans="1:10" s="1261" customFormat="1" ht="37.5" customHeight="1" thickBot="1" x14ac:dyDescent="0.25">
      <c r="A9" s="1254" t="s">
        <v>39</v>
      </c>
      <c r="B9" s="1293" t="s">
        <v>1241</v>
      </c>
      <c r="C9" s="1318">
        <v>2011</v>
      </c>
      <c r="D9" s="1294">
        <v>25760</v>
      </c>
      <c r="E9" s="1313">
        <v>18625</v>
      </c>
      <c r="F9" s="1306">
        <v>53986</v>
      </c>
      <c r="G9" s="1305">
        <v>53986</v>
      </c>
      <c r="H9" s="1306">
        <v>442000</v>
      </c>
      <c r="I9" s="1309">
        <f t="shared" si="0"/>
        <v>594357</v>
      </c>
    </row>
    <row r="10" spans="1:10" s="1261" customFormat="1" ht="27" customHeight="1" thickBot="1" x14ac:dyDescent="0.25">
      <c r="A10" s="1254" t="s">
        <v>49</v>
      </c>
      <c r="B10" s="1295" t="s">
        <v>1274</v>
      </c>
      <c r="C10" s="1318">
        <v>2007</v>
      </c>
      <c r="D10" s="1294">
        <v>35917</v>
      </c>
      <c r="E10" s="1313">
        <v>5250</v>
      </c>
      <c r="F10" s="1306">
        <v>7000</v>
      </c>
      <c r="G10" s="1306">
        <v>7000</v>
      </c>
      <c r="H10" s="1306">
        <v>486077</v>
      </c>
      <c r="I10" s="1309">
        <f t="shared" si="0"/>
        <v>541244</v>
      </c>
    </row>
    <row r="11" spans="1:10" s="1261" customFormat="1" ht="27" customHeight="1" thickBot="1" x14ac:dyDescent="0.25">
      <c r="A11" s="1254" t="s">
        <v>179</v>
      </c>
      <c r="B11" s="1295" t="s">
        <v>1275</v>
      </c>
      <c r="C11" s="1318">
        <v>2008</v>
      </c>
      <c r="D11" s="1294">
        <v>233417</v>
      </c>
      <c r="E11" s="1313">
        <v>64050</v>
      </c>
      <c r="F11" s="1306">
        <v>80000</v>
      </c>
      <c r="G11" s="1306">
        <v>80000</v>
      </c>
      <c r="H11" s="1306">
        <v>700059</v>
      </c>
      <c r="I11" s="1309">
        <f>SUM(D11:H11)</f>
        <v>1157526</v>
      </c>
    </row>
    <row r="12" spans="1:10" s="1261" customFormat="1" ht="31.5" customHeight="1" thickBot="1" x14ac:dyDescent="0.25">
      <c r="A12" s="1254" t="s">
        <v>75</v>
      </c>
      <c r="B12" s="1295" t="s">
        <v>1244</v>
      </c>
      <c r="C12" s="1318">
        <v>2008</v>
      </c>
      <c r="D12" s="1294">
        <v>31707</v>
      </c>
      <c r="E12" s="1313">
        <v>6625</v>
      </c>
      <c r="F12" s="1306">
        <v>8500</v>
      </c>
      <c r="G12" s="1306">
        <v>8500</v>
      </c>
      <c r="H12" s="1306">
        <v>69250</v>
      </c>
      <c r="I12" s="1309">
        <f>SUM(D12:H12)</f>
        <v>124582</v>
      </c>
    </row>
    <row r="13" spans="1:10" s="1261" customFormat="1" ht="20.100000000000001" customHeight="1" thickBot="1" x14ac:dyDescent="0.25">
      <c r="A13" s="1254" t="s">
        <v>207</v>
      </c>
      <c r="B13" s="1292" t="s">
        <v>1276</v>
      </c>
      <c r="C13" s="1319"/>
      <c r="D13" s="1320">
        <f>SUM(D14:D14)</f>
        <v>0</v>
      </c>
      <c r="E13" s="1314">
        <f>SUM(E14:E14)</f>
        <v>0</v>
      </c>
      <c r="F13" s="1307">
        <f>SUM(F14:F14)</f>
        <v>0</v>
      </c>
      <c r="G13" s="1307"/>
      <c r="H13" s="1307">
        <f>SUM(H14:H14)</f>
        <v>0</v>
      </c>
      <c r="I13" s="1310">
        <f t="shared" ref="I13:I19" si="1">SUM(D13:H13)</f>
        <v>0</v>
      </c>
    </row>
    <row r="14" spans="1:10" s="1261" customFormat="1" ht="20.100000000000001" customHeight="1" thickBot="1" x14ac:dyDescent="0.25">
      <c r="A14" s="1254" t="s">
        <v>80</v>
      </c>
      <c r="B14" s="1263"/>
      <c r="C14" s="1264"/>
      <c r="D14" s="1289"/>
      <c r="E14" s="1315"/>
      <c r="F14" s="1267"/>
      <c r="G14" s="1267"/>
      <c r="H14" s="1267"/>
      <c r="I14" s="1310">
        <f t="shared" si="1"/>
        <v>0</v>
      </c>
    </row>
    <row r="15" spans="1:10" s="1261" customFormat="1" ht="20.100000000000001" customHeight="1" thickBot="1" x14ac:dyDescent="0.25">
      <c r="A15" s="1254" t="s">
        <v>81</v>
      </c>
      <c r="B15" s="1292" t="s">
        <v>1277</v>
      </c>
      <c r="C15" s="1319"/>
      <c r="D15" s="1320">
        <f>SUM(D16:D16)</f>
        <v>0</v>
      </c>
      <c r="E15" s="1314">
        <f>SUM(E16:E16)</f>
        <v>0</v>
      </c>
      <c r="F15" s="1307">
        <f>SUM(F16:F16)</f>
        <v>0</v>
      </c>
      <c r="G15" s="1307"/>
      <c r="H15" s="1307">
        <f>SUM(H16:H16)</f>
        <v>0</v>
      </c>
      <c r="I15" s="1310">
        <f t="shared" si="1"/>
        <v>0</v>
      </c>
      <c r="J15" s="1296"/>
    </row>
    <row r="16" spans="1:10" s="1261" customFormat="1" ht="20.100000000000001" customHeight="1" thickBot="1" x14ac:dyDescent="0.25">
      <c r="A16" s="1254" t="s">
        <v>86</v>
      </c>
      <c r="B16" s="1297"/>
      <c r="C16" s="1264"/>
      <c r="D16" s="1289"/>
      <c r="E16" s="1315"/>
      <c r="F16" s="1267"/>
      <c r="G16" s="1267"/>
      <c r="H16" s="1267"/>
      <c r="I16" s="1310">
        <f t="shared" si="1"/>
        <v>0</v>
      </c>
    </row>
    <row r="17" spans="1:11" s="1261" customFormat="1" ht="20.100000000000001" customHeight="1" thickBot="1" x14ac:dyDescent="0.25">
      <c r="A17" s="1254" t="s">
        <v>99</v>
      </c>
      <c r="B17" s="1292" t="s">
        <v>225</v>
      </c>
      <c r="C17" s="1319"/>
      <c r="D17" s="1289">
        <f>SUM(D18:D18)</f>
        <v>0</v>
      </c>
      <c r="E17" s="1315">
        <f>SUM(E18:E18)</f>
        <v>0</v>
      </c>
      <c r="F17" s="1267">
        <f>SUM(F18:F18)</f>
        <v>0</v>
      </c>
      <c r="G17" s="1267">
        <f>SUM(G18:G18)</f>
        <v>0</v>
      </c>
      <c r="H17" s="1267">
        <f>SUM(H18:H18)</f>
        <v>0</v>
      </c>
      <c r="I17" s="1310">
        <f t="shared" si="1"/>
        <v>0</v>
      </c>
    </row>
    <row r="18" spans="1:11" s="1261" customFormat="1" ht="20.100000000000001" customHeight="1" thickBot="1" x14ac:dyDescent="0.25">
      <c r="A18" s="1254" t="s">
        <v>100</v>
      </c>
      <c r="B18" s="1298"/>
      <c r="C18" s="1264"/>
      <c r="D18" s="1289"/>
      <c r="E18" s="1315"/>
      <c r="F18" s="1267">
        <v>0</v>
      </c>
      <c r="G18" s="1267"/>
      <c r="H18" s="1267"/>
      <c r="I18" s="1310">
        <f t="shared" si="1"/>
        <v>0</v>
      </c>
    </row>
    <row r="19" spans="1:11" s="1261" customFormat="1" ht="20.100000000000001" customHeight="1" thickBot="1" x14ac:dyDescent="0.25">
      <c r="A19" s="1677" t="s">
        <v>1278</v>
      </c>
      <c r="B19" s="1678"/>
      <c r="C19" s="1321"/>
      <c r="D19" s="1322">
        <f>D5+D7+D13+D15+D17</f>
        <v>343336</v>
      </c>
      <c r="E19" s="1322">
        <f>E5+E7+E13+E15+E17</f>
        <v>108500</v>
      </c>
      <c r="F19" s="1322">
        <f>SUM(F7+F17)</f>
        <v>170082</v>
      </c>
      <c r="G19" s="1322">
        <f>SUM(G7+G17)</f>
        <v>170082</v>
      </c>
      <c r="H19" s="1322">
        <f>H5+H7+H13+H15+H17</f>
        <v>1865497</v>
      </c>
      <c r="I19" s="1323">
        <f t="shared" si="1"/>
        <v>2657497</v>
      </c>
    </row>
    <row r="21" spans="1:11" ht="17.25" customHeight="1" x14ac:dyDescent="0.2"/>
    <row r="22" spans="1:11" s="1300" customFormat="1" ht="75.75" customHeight="1" x14ac:dyDescent="0.25">
      <c r="A22" s="1299" t="s">
        <v>5</v>
      </c>
      <c r="B22" s="1670" t="s">
        <v>1279</v>
      </c>
      <c r="C22" s="1670"/>
      <c r="D22" s="1670"/>
      <c r="E22" s="1670"/>
      <c r="F22" s="1670"/>
      <c r="G22" s="1670"/>
      <c r="H22" s="1670"/>
      <c r="I22" s="1670"/>
      <c r="K22" s="1301"/>
    </row>
    <row r="23" spans="1:11" s="1303" customFormat="1" ht="48" customHeight="1" x14ac:dyDescent="0.25">
      <c r="A23" s="1302" t="s">
        <v>6</v>
      </c>
      <c r="B23" s="1670" t="s">
        <v>1280</v>
      </c>
      <c r="C23" s="1670"/>
      <c r="D23" s="1670"/>
      <c r="E23" s="1670"/>
      <c r="F23" s="1670"/>
      <c r="G23" s="1670"/>
      <c r="H23" s="1670"/>
      <c r="I23" s="1670"/>
    </row>
    <row r="24" spans="1:11" s="1303" customFormat="1" ht="43.5" customHeight="1" x14ac:dyDescent="0.25">
      <c r="A24" s="1302" t="s">
        <v>20</v>
      </c>
      <c r="B24" s="1670" t="s">
        <v>1281</v>
      </c>
      <c r="C24" s="1670"/>
      <c r="D24" s="1670"/>
      <c r="E24" s="1670"/>
      <c r="F24" s="1670"/>
      <c r="G24" s="1670"/>
      <c r="H24" s="1670"/>
      <c r="I24" s="1670"/>
    </row>
    <row r="25" spans="1:11" s="1303" customFormat="1" ht="43.5" customHeight="1" x14ac:dyDescent="0.25">
      <c r="A25" s="1302" t="s">
        <v>150</v>
      </c>
      <c r="B25" s="1670" t="s">
        <v>1282</v>
      </c>
      <c r="C25" s="1670"/>
      <c r="D25" s="1670"/>
      <c r="E25" s="1670"/>
      <c r="F25" s="1670"/>
      <c r="G25" s="1670"/>
      <c r="H25" s="1670"/>
      <c r="I25" s="1670"/>
    </row>
    <row r="26" spans="1:11" s="1303" customFormat="1" ht="43.5" customHeight="1" x14ac:dyDescent="0.25">
      <c r="A26" s="1302" t="s">
        <v>39</v>
      </c>
      <c r="B26" s="1670" t="s">
        <v>1283</v>
      </c>
      <c r="C26" s="1670"/>
      <c r="D26" s="1670"/>
      <c r="E26" s="1670"/>
      <c r="F26" s="1670"/>
      <c r="G26" s="1670"/>
      <c r="H26" s="1670"/>
      <c r="I26" s="1670"/>
    </row>
  </sheetData>
  <mergeCells count="12">
    <mergeCell ref="B26:I26"/>
    <mergeCell ref="A2:A3"/>
    <mergeCell ref="B2:B3"/>
    <mergeCell ref="C2:C3"/>
    <mergeCell ref="D2:D3"/>
    <mergeCell ref="E2:H2"/>
    <mergeCell ref="I2:I3"/>
    <mergeCell ref="A19:B19"/>
    <mergeCell ref="B22:I22"/>
    <mergeCell ref="B23:I23"/>
    <mergeCell ref="B24:I24"/>
    <mergeCell ref="B25:I25"/>
  </mergeCells>
  <printOptions horizontalCentered="1"/>
  <pageMargins left="0.35433070866141736" right="0.23622047244094491" top="0.82677165354330717" bottom="0.47244094488188981" header="0.31496062992125984" footer="0.23622047244094491"/>
  <pageSetup paperSize="9" firstPageNumber="103" orientation="landscape" useFirstPageNumber="1" verticalDpi="300" r:id="rId1"/>
  <headerFooter alignWithMargins="0">
    <oddHeader>&amp;C&amp;"Times New Roman CE,Félkövér"&amp;12Vecsés Város Önkormányzat többéves kihatással járó döntésekből származó kötelezettségek
célok szerint, évenkénti bontásban&amp;R&amp;"Times New Roman CE,Félkövér dőlt"&amp;11 10. számú melléklet</oddHeader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workbookViewId="0">
      <selection activeCell="D26" sqref="D26"/>
    </sheetView>
  </sheetViews>
  <sheetFormatPr defaultRowHeight="12.75" x14ac:dyDescent="0.2"/>
  <cols>
    <col min="1" max="1" width="41.1640625" style="800" customWidth="1"/>
    <col min="2" max="2" width="16" style="800" customWidth="1"/>
    <col min="3" max="4" width="13.83203125" style="800" customWidth="1"/>
    <col min="5" max="5" width="14" style="800" customWidth="1"/>
    <col min="6" max="16384" width="9.33203125" style="800"/>
  </cols>
  <sheetData>
    <row r="1" spans="1:5" ht="14.25" customHeight="1" x14ac:dyDescent="0.2">
      <c r="A1" s="811"/>
      <c r="B1" s="812"/>
      <c r="C1" s="812"/>
      <c r="D1" s="812"/>
      <c r="E1" s="812"/>
    </row>
    <row r="2" spans="1:5" ht="29.25" customHeight="1" x14ac:dyDescent="0.25">
      <c r="A2" s="801" t="s">
        <v>1284</v>
      </c>
      <c r="B2" s="1679" t="s">
        <v>1300</v>
      </c>
      <c r="C2" s="1679"/>
      <c r="D2" s="1679"/>
      <c r="E2" s="1679"/>
    </row>
    <row r="3" spans="1:5" ht="13.5" customHeight="1" thickBot="1" x14ac:dyDescent="0.25">
      <c r="D3" s="1680" t="s">
        <v>1285</v>
      </c>
      <c r="E3" s="1680"/>
    </row>
    <row r="4" spans="1:5" ht="16.5" thickBot="1" x14ac:dyDescent="0.25">
      <c r="A4" s="802" t="s">
        <v>1286</v>
      </c>
      <c r="B4" s="803" t="s">
        <v>1237</v>
      </c>
      <c r="C4" s="803">
        <v>2013</v>
      </c>
      <c r="D4" s="803" t="s">
        <v>1832</v>
      </c>
      <c r="E4" s="804" t="s">
        <v>1270</v>
      </c>
    </row>
    <row r="5" spans="1:5" ht="16.5" thickBot="1" x14ac:dyDescent="0.25">
      <c r="A5" s="805" t="s">
        <v>1287</v>
      </c>
      <c r="B5" s="806">
        <v>0</v>
      </c>
      <c r="C5" s="806">
        <v>0</v>
      </c>
      <c r="D5" s="806"/>
      <c r="E5" s="806">
        <f t="shared" ref="E5:E11" si="0">SUM(B5:D5)</f>
        <v>0</v>
      </c>
    </row>
    <row r="6" spans="1:5" ht="16.5" thickBot="1" x14ac:dyDescent="0.25">
      <c r="A6" s="1376" t="s">
        <v>1288</v>
      </c>
      <c r="B6" s="806"/>
      <c r="C6" s="806"/>
      <c r="D6" s="806"/>
      <c r="E6" s="806">
        <f t="shared" si="0"/>
        <v>0</v>
      </c>
    </row>
    <row r="7" spans="1:5" ht="16.5" thickBot="1" x14ac:dyDescent="0.25">
      <c r="A7" s="1377" t="s">
        <v>1289</v>
      </c>
      <c r="B7" s="806">
        <f>(7038860+6148860)/1000+1350</f>
        <v>14537.72</v>
      </c>
      <c r="C7" s="806">
        <f>(7038860+4379234)/1000</f>
        <v>11418.093999999999</v>
      </c>
      <c r="D7" s="806"/>
      <c r="E7" s="806">
        <f t="shared" si="0"/>
        <v>25955.813999999998</v>
      </c>
    </row>
    <row r="8" spans="1:5" ht="16.5" thickBot="1" x14ac:dyDescent="0.25">
      <c r="A8" s="1377" t="s">
        <v>1290</v>
      </c>
      <c r="B8" s="806"/>
      <c r="C8" s="806"/>
      <c r="D8" s="806"/>
      <c r="E8" s="806">
        <f t="shared" si="0"/>
        <v>0</v>
      </c>
    </row>
    <row r="9" spans="1:5" ht="16.5" thickBot="1" x14ac:dyDescent="0.25">
      <c r="A9" s="1377" t="s">
        <v>1291</v>
      </c>
      <c r="B9" s="806"/>
      <c r="C9" s="806"/>
      <c r="D9" s="806"/>
      <c r="E9" s="806">
        <f t="shared" si="0"/>
        <v>0</v>
      </c>
    </row>
    <row r="10" spans="1:5" ht="16.5" thickBot="1" x14ac:dyDescent="0.25">
      <c r="A10" s="1377" t="s">
        <v>1292</v>
      </c>
      <c r="B10" s="806"/>
      <c r="C10" s="806"/>
      <c r="D10" s="806"/>
      <c r="E10" s="806">
        <f t="shared" si="0"/>
        <v>0</v>
      </c>
    </row>
    <row r="11" spans="1:5" ht="16.5" thickBot="1" x14ac:dyDescent="0.25">
      <c r="A11" s="1378"/>
      <c r="B11" s="806"/>
      <c r="C11" s="806"/>
      <c r="D11" s="806"/>
      <c r="E11" s="806">
        <f t="shared" si="0"/>
        <v>0</v>
      </c>
    </row>
    <row r="12" spans="1:5" ht="19.5" thickBot="1" x14ac:dyDescent="0.25">
      <c r="A12" s="807" t="s">
        <v>1293</v>
      </c>
      <c r="B12" s="808">
        <f>B5+SUM(B7:B11)</f>
        <v>14537.72</v>
      </c>
      <c r="C12" s="808">
        <f>C5+SUM(C7:C11)</f>
        <v>11418.093999999999</v>
      </c>
      <c r="D12" s="808">
        <f>D5+SUM(D7:D11)</f>
        <v>0</v>
      </c>
      <c r="E12" s="809">
        <f>E5+SUM(E7:E11)</f>
        <v>25955.813999999998</v>
      </c>
    </row>
    <row r="13" spans="1:5" ht="13.5" thickBot="1" x14ac:dyDescent="0.25">
      <c r="A13" s="810"/>
      <c r="B13" s="810"/>
      <c r="C13" s="810"/>
      <c r="D13" s="810"/>
      <c r="E13" s="810"/>
    </row>
    <row r="14" spans="1:5" ht="16.5" thickBot="1" x14ac:dyDescent="0.25">
      <c r="A14" s="802" t="s">
        <v>1294</v>
      </c>
      <c r="B14" s="803" t="s">
        <v>1237</v>
      </c>
      <c r="C14" s="803">
        <v>2013</v>
      </c>
      <c r="D14" s="803" t="s">
        <v>1832</v>
      </c>
      <c r="E14" s="804" t="s">
        <v>1270</v>
      </c>
    </row>
    <row r="15" spans="1:5" ht="16.5" thickBot="1" x14ac:dyDescent="0.25">
      <c r="A15" s="805" t="s">
        <v>1295</v>
      </c>
      <c r="B15" s="806">
        <f>(825500*2+2485000*2)/1000</f>
        <v>6621</v>
      </c>
      <c r="C15" s="806">
        <f>(825500+550333+2485000+1560221)/1000</f>
        <v>5421.0540000000001</v>
      </c>
      <c r="D15" s="806"/>
      <c r="E15" s="806">
        <f t="shared" ref="E15:E21" si="1">SUM(B15:D15)</f>
        <v>12042.054</v>
      </c>
    </row>
    <row r="16" spans="1:5" ht="16.5" thickBot="1" x14ac:dyDescent="0.25">
      <c r="A16" s="805" t="s">
        <v>1296</v>
      </c>
      <c r="B16" s="806">
        <f>890</f>
        <v>890</v>
      </c>
      <c r="C16" s="806">
        <v>890</v>
      </c>
      <c r="D16" s="806"/>
      <c r="E16" s="806">
        <f t="shared" si="1"/>
        <v>1780</v>
      </c>
    </row>
    <row r="17" spans="1:5" ht="16.5" thickBot="1" x14ac:dyDescent="0.25">
      <c r="A17" s="805" t="s">
        <v>1297</v>
      </c>
      <c r="B17" s="806">
        <f>2838360/500</f>
        <v>5676.72</v>
      </c>
      <c r="C17" s="806">
        <f>(2838360+1968680+300000)/1000</f>
        <v>5107.04</v>
      </c>
      <c r="D17" s="806"/>
      <c r="E17" s="806">
        <f t="shared" si="1"/>
        <v>10783.76</v>
      </c>
    </row>
    <row r="18" spans="1:5" ht="16.5" thickBot="1" x14ac:dyDescent="0.25">
      <c r="A18" s="805" t="s">
        <v>1298</v>
      </c>
      <c r="B18" s="806">
        <v>1350</v>
      </c>
      <c r="C18" s="806"/>
      <c r="D18" s="806"/>
      <c r="E18" s="806">
        <f t="shared" si="1"/>
        <v>1350</v>
      </c>
    </row>
    <row r="19" spans="1:5" ht="16.5" thickBot="1" x14ac:dyDescent="0.25">
      <c r="A19" s="805"/>
      <c r="B19" s="806"/>
      <c r="C19" s="806"/>
      <c r="D19" s="806"/>
      <c r="E19" s="806">
        <f t="shared" si="1"/>
        <v>0</v>
      </c>
    </row>
    <row r="20" spans="1:5" ht="16.5" hidden="1" thickBot="1" x14ac:dyDescent="0.25">
      <c r="A20" s="1379"/>
      <c r="B20" s="806"/>
      <c r="C20" s="806"/>
      <c r="D20" s="806"/>
      <c r="E20" s="806">
        <f t="shared" si="1"/>
        <v>0</v>
      </c>
    </row>
    <row r="21" spans="1:5" ht="16.5" hidden="1" thickBot="1" x14ac:dyDescent="0.25">
      <c r="A21" s="1378"/>
      <c r="B21" s="806"/>
      <c r="C21" s="806"/>
      <c r="D21" s="806"/>
      <c r="E21" s="806">
        <f t="shared" si="1"/>
        <v>0</v>
      </c>
    </row>
    <row r="22" spans="1:5" ht="19.5" thickBot="1" x14ac:dyDescent="0.25">
      <c r="A22" s="807" t="s">
        <v>1299</v>
      </c>
      <c r="B22" s="808">
        <f>SUM(B15:B21)</f>
        <v>14537.720000000001</v>
      </c>
      <c r="C22" s="808">
        <f>SUM(C15:C21)</f>
        <v>11418.094000000001</v>
      </c>
      <c r="D22" s="808">
        <f>SUM(D15:D21)</f>
        <v>0</v>
      </c>
      <c r="E22" s="809">
        <f>SUM(E15:E21)</f>
        <v>25955.813999999998</v>
      </c>
    </row>
    <row r="25" spans="1:5" ht="15.75" x14ac:dyDescent="0.2">
      <c r="A25" s="813" t="s">
        <v>1833</v>
      </c>
    </row>
    <row r="26" spans="1:5" ht="15.75" x14ac:dyDescent="0.2">
      <c r="A26" s="813"/>
    </row>
    <row r="27" spans="1:5" ht="13.5" customHeight="1" thickBot="1" x14ac:dyDescent="0.25">
      <c r="D27" s="1680" t="s">
        <v>1285</v>
      </c>
      <c r="E27" s="1680"/>
    </row>
    <row r="28" spans="1:5" ht="16.5" customHeight="1" thickBot="1" x14ac:dyDescent="0.25">
      <c r="A28" s="814" t="s">
        <v>1301</v>
      </c>
      <c r="B28" s="815"/>
      <c r="C28" s="816"/>
      <c r="D28" s="1681">
        <v>5000</v>
      </c>
      <c r="E28" s="1681"/>
    </row>
    <row r="29" spans="1:5" ht="19.5" customHeight="1" thickBot="1" x14ac:dyDescent="0.25">
      <c r="A29" s="817" t="s">
        <v>1299</v>
      </c>
      <c r="B29" s="818"/>
      <c r="C29" s="818"/>
      <c r="D29" s="1682">
        <f>SUM(D28:E28)</f>
        <v>5000</v>
      </c>
      <c r="E29" s="1682"/>
    </row>
  </sheetData>
  <sheetProtection selectLockedCells="1" selectUnlockedCells="1"/>
  <mergeCells count="5">
    <mergeCell ref="B2:E2"/>
    <mergeCell ref="D3:E3"/>
    <mergeCell ref="D27:E27"/>
    <mergeCell ref="D28:E28"/>
    <mergeCell ref="D29:E29"/>
  </mergeCells>
  <conditionalFormatting sqref="D4:E22 B1:E1 B3:C22">
    <cfRule type="cellIs" dxfId="0" priority="1" stopIfTrue="1" operator="equal">
      <formula>0</formula>
    </cfRule>
  </conditionalFormatting>
  <printOptions horizontalCentered="1"/>
  <pageMargins left="0.78740157480314965" right="0.78740157480314965" top="1.0236220472440944" bottom="0.59055118110236227" header="0.39370078740157483" footer="0.23622047244094491"/>
  <pageSetup paperSize="9" scale="95" firstPageNumber="105" orientation="portrait" useFirstPageNumber="1" horizontalDpi="300" verticalDpi="300" r:id="rId1"/>
  <headerFooter alignWithMargins="0">
    <oddHeader>&amp;C&amp;"Times New Roman CE,Félkövér"&amp;16Európai uniós támogatással megvalósuló 
projektek bevételei, kiadásai, hozzájárulások&amp;R&amp;12 11. sz. melléklet</oddHeader>
    <oddFooter>&amp;C&amp;"Calibri,Általános"&amp;11-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topLeftCell="B1" workbookViewId="0">
      <selection activeCell="C9" sqref="C9"/>
    </sheetView>
  </sheetViews>
  <sheetFormatPr defaultRowHeight="12.75" x14ac:dyDescent="0.2"/>
  <cols>
    <col min="1" max="1" width="5.83203125" style="819" customWidth="1"/>
    <col min="2" max="2" width="60" style="162" customWidth="1"/>
    <col min="3" max="3" width="17.6640625" style="162" customWidth="1"/>
    <col min="4" max="4" width="19" style="162" customWidth="1"/>
    <col min="5" max="16384" width="9.33203125" style="162"/>
  </cols>
  <sheetData>
    <row r="1" spans="1:4" s="823" customFormat="1" ht="15.75" x14ac:dyDescent="0.2">
      <c r="A1" s="820"/>
      <c r="B1" s="821"/>
      <c r="C1" s="821"/>
      <c r="D1" s="822" t="s">
        <v>196</v>
      </c>
    </row>
    <row r="2" spans="1:4" s="825" customFormat="1" ht="48" customHeight="1" x14ac:dyDescent="0.2">
      <c r="A2" s="824" t="s">
        <v>1233</v>
      </c>
      <c r="B2" s="173" t="s">
        <v>1302</v>
      </c>
      <c r="C2" s="173" t="s">
        <v>1303</v>
      </c>
      <c r="D2" s="174" t="s">
        <v>1304</v>
      </c>
    </row>
    <row r="3" spans="1:4" s="825" customFormat="1" ht="14.1" customHeight="1" x14ac:dyDescent="0.2">
      <c r="A3" s="826">
        <v>1</v>
      </c>
      <c r="B3" s="827">
        <v>2</v>
      </c>
      <c r="C3" s="827">
        <v>3</v>
      </c>
      <c r="D3" s="828">
        <v>4</v>
      </c>
    </row>
    <row r="4" spans="1:4" ht="18" customHeight="1" x14ac:dyDescent="0.2">
      <c r="A4" s="829" t="s">
        <v>5</v>
      </c>
      <c r="B4" s="830" t="s">
        <v>1305</v>
      </c>
      <c r="C4" s="1331"/>
      <c r="D4" s="1332"/>
    </row>
    <row r="5" spans="1:4" ht="18" customHeight="1" x14ac:dyDescent="0.2">
      <c r="A5" s="831" t="s">
        <v>6</v>
      </c>
      <c r="B5" s="832" t="s">
        <v>1306</v>
      </c>
      <c r="C5" s="1333"/>
      <c r="D5" s="1330"/>
    </row>
    <row r="6" spans="1:4" ht="18" customHeight="1" x14ac:dyDescent="0.2">
      <c r="A6" s="831" t="s">
        <v>20</v>
      </c>
      <c r="B6" s="832" t="s">
        <v>1307</v>
      </c>
      <c r="C6" s="1333"/>
      <c r="D6" s="1330"/>
    </row>
    <row r="7" spans="1:4" ht="18" customHeight="1" x14ac:dyDescent="0.2">
      <c r="A7" s="831" t="s">
        <v>150</v>
      </c>
      <c r="B7" s="832" t="s">
        <v>1308</v>
      </c>
      <c r="C7" s="1333"/>
      <c r="D7" s="1330"/>
    </row>
    <row r="8" spans="1:4" ht="18" customHeight="1" x14ac:dyDescent="0.2">
      <c r="A8" s="831" t="s">
        <v>39</v>
      </c>
      <c r="B8" s="832" t="s">
        <v>1309</v>
      </c>
      <c r="C8" s="1333"/>
      <c r="D8" s="1330"/>
    </row>
    <row r="9" spans="1:4" ht="18" customHeight="1" x14ac:dyDescent="0.2">
      <c r="A9" s="831" t="s">
        <v>49</v>
      </c>
      <c r="B9" s="832" t="s">
        <v>1310</v>
      </c>
      <c r="C9" s="1333"/>
      <c r="D9" s="1330"/>
    </row>
    <row r="10" spans="1:4" ht="18" customHeight="1" x14ac:dyDescent="0.2">
      <c r="A10" s="831" t="s">
        <v>179</v>
      </c>
      <c r="B10" s="834" t="s">
        <v>1311</v>
      </c>
      <c r="C10" s="1333"/>
      <c r="D10" s="1330"/>
    </row>
    <row r="11" spans="1:4" ht="18" customHeight="1" x14ac:dyDescent="0.2">
      <c r="A11" s="831" t="s">
        <v>75</v>
      </c>
      <c r="B11" s="834" t="s">
        <v>1312</v>
      </c>
      <c r="C11" s="1333"/>
      <c r="D11" s="1330"/>
    </row>
    <row r="12" spans="1:4" ht="18" customHeight="1" x14ac:dyDescent="0.2">
      <c r="A12" s="831" t="s">
        <v>207</v>
      </c>
      <c r="B12" s="834" t="s">
        <v>1313</v>
      </c>
      <c r="C12" s="1333"/>
      <c r="D12" s="1330"/>
    </row>
    <row r="13" spans="1:4" ht="18" customHeight="1" x14ac:dyDescent="0.2">
      <c r="A13" s="831" t="s">
        <v>80</v>
      </c>
      <c r="B13" s="834" t="s">
        <v>1314</v>
      </c>
      <c r="C13" s="1333"/>
      <c r="D13" s="1330"/>
    </row>
    <row r="14" spans="1:4" ht="18" customHeight="1" x14ac:dyDescent="0.2">
      <c r="A14" s="831" t="s">
        <v>81</v>
      </c>
      <c r="B14" s="834" t="s">
        <v>1315</v>
      </c>
      <c r="C14" s="1333"/>
      <c r="D14" s="1330"/>
    </row>
    <row r="15" spans="1:4" ht="41.25" customHeight="1" x14ac:dyDescent="0.2">
      <c r="A15" s="831" t="s">
        <v>86</v>
      </c>
      <c r="B15" s="834" t="s">
        <v>1316</v>
      </c>
      <c r="C15" s="1333"/>
      <c r="D15" s="1330"/>
    </row>
    <row r="16" spans="1:4" ht="18" customHeight="1" x14ac:dyDescent="0.2">
      <c r="A16" s="831" t="s">
        <v>99</v>
      </c>
      <c r="B16" s="832" t="s">
        <v>1317</v>
      </c>
      <c r="C16" s="1333"/>
      <c r="D16" s="1330">
        <v>13102</v>
      </c>
    </row>
    <row r="17" spans="1:4" ht="18" customHeight="1" x14ac:dyDescent="0.2">
      <c r="A17" s="831" t="s">
        <v>100</v>
      </c>
      <c r="B17" s="832" t="s">
        <v>1318</v>
      </c>
      <c r="C17" s="1333"/>
      <c r="D17" s="1330"/>
    </row>
    <row r="18" spans="1:4" ht="18" customHeight="1" x14ac:dyDescent="0.2">
      <c r="A18" s="831" t="s">
        <v>212</v>
      </c>
      <c r="B18" s="832" t="s">
        <v>1319</v>
      </c>
      <c r="C18" s="1333"/>
      <c r="D18" s="1330"/>
    </row>
    <row r="19" spans="1:4" ht="18" customHeight="1" x14ac:dyDescent="0.2">
      <c r="A19" s="831" t="s">
        <v>214</v>
      </c>
      <c r="B19" s="832" t="s">
        <v>1320</v>
      </c>
      <c r="C19" s="1333"/>
      <c r="D19" s="1330"/>
    </row>
    <row r="20" spans="1:4" ht="18" customHeight="1" x14ac:dyDescent="0.2">
      <c r="A20" s="831" t="s">
        <v>216</v>
      </c>
      <c r="B20" s="832" t="s">
        <v>1321</v>
      </c>
      <c r="C20" s="1333"/>
      <c r="D20" s="1330"/>
    </row>
    <row r="21" spans="1:4" ht="18" customHeight="1" x14ac:dyDescent="0.2">
      <c r="A21" s="831" t="s">
        <v>217</v>
      </c>
      <c r="B21" s="835"/>
      <c r="C21" s="1334"/>
      <c r="D21" s="1330"/>
    </row>
    <row r="22" spans="1:4" ht="18" customHeight="1" x14ac:dyDescent="0.2">
      <c r="A22" s="831" t="s">
        <v>219</v>
      </c>
      <c r="B22" s="837"/>
      <c r="C22" s="1334"/>
      <c r="D22" s="1330"/>
    </row>
    <row r="23" spans="1:4" ht="18" customHeight="1" x14ac:dyDescent="0.2">
      <c r="A23" s="831" t="s">
        <v>221</v>
      </c>
      <c r="B23" s="837"/>
      <c r="C23" s="836"/>
      <c r="D23" s="833"/>
    </row>
    <row r="24" spans="1:4" ht="18" customHeight="1" x14ac:dyDescent="0.2">
      <c r="A24" s="831" t="s">
        <v>223</v>
      </c>
      <c r="B24" s="837"/>
      <c r="C24" s="836"/>
      <c r="D24" s="833"/>
    </row>
    <row r="25" spans="1:4" ht="18" customHeight="1" x14ac:dyDescent="0.2">
      <c r="A25" s="831" t="s">
        <v>224</v>
      </c>
      <c r="B25" s="837"/>
      <c r="C25" s="836"/>
      <c r="D25" s="833"/>
    </row>
    <row r="26" spans="1:4" ht="18" customHeight="1" x14ac:dyDescent="0.2">
      <c r="A26" s="831" t="s">
        <v>226</v>
      </c>
      <c r="B26" s="837"/>
      <c r="C26" s="836"/>
      <c r="D26" s="833"/>
    </row>
    <row r="27" spans="1:4" ht="18" customHeight="1" x14ac:dyDescent="0.2">
      <c r="A27" s="831" t="s">
        <v>227</v>
      </c>
      <c r="B27" s="837"/>
      <c r="C27" s="836"/>
      <c r="D27" s="833"/>
    </row>
    <row r="28" spans="1:4" ht="18" customHeight="1" x14ac:dyDescent="0.2">
      <c r="A28" s="831" t="s">
        <v>230</v>
      </c>
      <c r="B28" s="837"/>
      <c r="C28" s="836"/>
      <c r="D28" s="833"/>
    </row>
    <row r="29" spans="1:4" ht="18" customHeight="1" x14ac:dyDescent="0.2">
      <c r="A29" s="838" t="s">
        <v>233</v>
      </c>
      <c r="B29" s="839"/>
      <c r="C29" s="840"/>
      <c r="D29" s="841"/>
    </row>
    <row r="30" spans="1:4" ht="18" customHeight="1" x14ac:dyDescent="0.2">
      <c r="A30" s="826" t="s">
        <v>1322</v>
      </c>
      <c r="B30" s="842" t="s">
        <v>1299</v>
      </c>
      <c r="C30" s="843">
        <f>SUM(C4:C29)</f>
        <v>0</v>
      </c>
      <c r="D30" s="844">
        <f>SUM(D4:D29)</f>
        <v>13102</v>
      </c>
    </row>
  </sheetData>
  <sheetProtection selectLockedCells="1" selectUnlockedCells="1"/>
  <printOptions horizontalCentered="1"/>
  <pageMargins left="0.43307086614173229" right="0.31496062992125984" top="1.6141732283464567" bottom="0.98425196850393704" header="0.78740157480314965" footer="0.78740157480314965"/>
  <pageSetup paperSize="9" firstPageNumber="106" orientation="portrait" useFirstPageNumber="1" horizontalDpi="300" verticalDpi="300" r:id="rId1"/>
  <headerFooter alignWithMargins="0">
    <oddHeader>&amp;C&amp;"Times New Roman CE,Félkövér"&amp;14Vecsés Város  Önkormányzata 
által adott közvetett támogatások
(kedvezmények)&amp;R&amp;"Times New Roman,Normál"&amp;12 12. sz. melléklet</oddHeader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120" zoomScaleNormal="120" zoomScaleSheetLayoutView="100" workbookViewId="0">
      <selection activeCell="B22" sqref="B22"/>
    </sheetView>
  </sheetViews>
  <sheetFormatPr defaultRowHeight="15.75" x14ac:dyDescent="0.25"/>
  <cols>
    <col min="1" max="1" width="4.83203125" style="845" customWidth="1"/>
    <col min="2" max="2" width="30.1640625" style="846" customWidth="1"/>
    <col min="3" max="4" width="9" style="846" customWidth="1"/>
    <col min="5" max="5" width="9.5" style="846" customWidth="1"/>
    <col min="6" max="6" width="8.83203125" style="846" customWidth="1"/>
    <col min="7" max="7" width="10.1640625" style="846" customWidth="1"/>
    <col min="8" max="8" width="8.83203125" style="846" customWidth="1"/>
    <col min="9" max="9" width="8.1640625" style="846" customWidth="1"/>
    <col min="10" max="14" width="9.5" style="846" customWidth="1"/>
    <col min="15" max="15" width="12.6640625" style="845" customWidth="1"/>
    <col min="16" max="17" width="9.33203125" style="846"/>
    <col min="18" max="18" width="11.83203125" style="846" bestFit="1" customWidth="1"/>
    <col min="19" max="256" width="9.33203125" style="846"/>
    <col min="257" max="257" width="4.83203125" style="846" customWidth="1"/>
    <col min="258" max="258" width="30.1640625" style="846" customWidth="1"/>
    <col min="259" max="260" width="9" style="846" customWidth="1"/>
    <col min="261" max="261" width="9.5" style="846" customWidth="1"/>
    <col min="262" max="262" width="8.83203125" style="846" customWidth="1"/>
    <col min="263" max="263" width="10.1640625" style="846" customWidth="1"/>
    <col min="264" max="264" width="8.83203125" style="846" customWidth="1"/>
    <col min="265" max="265" width="8.1640625" style="846" customWidth="1"/>
    <col min="266" max="270" width="9.5" style="846" customWidth="1"/>
    <col min="271" max="271" width="12.6640625" style="846" customWidth="1"/>
    <col min="272" max="273" width="9.33203125" style="846"/>
    <col min="274" max="274" width="11.83203125" style="846" bestFit="1" customWidth="1"/>
    <col min="275" max="512" width="9.33203125" style="846"/>
    <col min="513" max="513" width="4.83203125" style="846" customWidth="1"/>
    <col min="514" max="514" width="30.1640625" style="846" customWidth="1"/>
    <col min="515" max="516" width="9" style="846" customWidth="1"/>
    <col min="517" max="517" width="9.5" style="846" customWidth="1"/>
    <col min="518" max="518" width="8.83203125" style="846" customWidth="1"/>
    <col min="519" max="519" width="10.1640625" style="846" customWidth="1"/>
    <col min="520" max="520" width="8.83203125" style="846" customWidth="1"/>
    <col min="521" max="521" width="8.1640625" style="846" customWidth="1"/>
    <col min="522" max="526" width="9.5" style="846" customWidth="1"/>
    <col min="527" max="527" width="12.6640625" style="846" customWidth="1"/>
    <col min="528" max="529" width="9.33203125" style="846"/>
    <col min="530" max="530" width="11.83203125" style="846" bestFit="1" customWidth="1"/>
    <col min="531" max="768" width="9.33203125" style="846"/>
    <col min="769" max="769" width="4.83203125" style="846" customWidth="1"/>
    <col min="770" max="770" width="30.1640625" style="846" customWidth="1"/>
    <col min="771" max="772" width="9" style="846" customWidth="1"/>
    <col min="773" max="773" width="9.5" style="846" customWidth="1"/>
    <col min="774" max="774" width="8.83203125" style="846" customWidth="1"/>
    <col min="775" max="775" width="10.1640625" style="846" customWidth="1"/>
    <col min="776" max="776" width="8.83203125" style="846" customWidth="1"/>
    <col min="777" max="777" width="8.1640625" style="846" customWidth="1"/>
    <col min="778" max="782" width="9.5" style="846" customWidth="1"/>
    <col min="783" max="783" width="12.6640625" style="846" customWidth="1"/>
    <col min="784" max="785" width="9.33203125" style="846"/>
    <col min="786" max="786" width="11.83203125" style="846" bestFit="1" customWidth="1"/>
    <col min="787" max="1024" width="9.33203125" style="846"/>
    <col min="1025" max="1025" width="4.83203125" style="846" customWidth="1"/>
    <col min="1026" max="1026" width="30.1640625" style="846" customWidth="1"/>
    <col min="1027" max="1028" width="9" style="846" customWidth="1"/>
    <col min="1029" max="1029" width="9.5" style="846" customWidth="1"/>
    <col min="1030" max="1030" width="8.83203125" style="846" customWidth="1"/>
    <col min="1031" max="1031" width="10.1640625" style="846" customWidth="1"/>
    <col min="1032" max="1032" width="8.83203125" style="846" customWidth="1"/>
    <col min="1033" max="1033" width="8.1640625" style="846" customWidth="1"/>
    <col min="1034" max="1038" width="9.5" style="846" customWidth="1"/>
    <col min="1039" max="1039" width="12.6640625" style="846" customWidth="1"/>
    <col min="1040" max="1041" width="9.33203125" style="846"/>
    <col min="1042" max="1042" width="11.83203125" style="846" bestFit="1" customWidth="1"/>
    <col min="1043" max="1280" width="9.33203125" style="846"/>
    <col min="1281" max="1281" width="4.83203125" style="846" customWidth="1"/>
    <col min="1282" max="1282" width="30.1640625" style="846" customWidth="1"/>
    <col min="1283" max="1284" width="9" style="846" customWidth="1"/>
    <col min="1285" max="1285" width="9.5" style="846" customWidth="1"/>
    <col min="1286" max="1286" width="8.83203125" style="846" customWidth="1"/>
    <col min="1287" max="1287" width="10.1640625" style="846" customWidth="1"/>
    <col min="1288" max="1288" width="8.83203125" style="846" customWidth="1"/>
    <col min="1289" max="1289" width="8.1640625" style="846" customWidth="1"/>
    <col min="1290" max="1294" width="9.5" style="846" customWidth="1"/>
    <col min="1295" max="1295" width="12.6640625" style="846" customWidth="1"/>
    <col min="1296" max="1297" width="9.33203125" style="846"/>
    <col min="1298" max="1298" width="11.83203125" style="846" bestFit="1" customWidth="1"/>
    <col min="1299" max="1536" width="9.33203125" style="846"/>
    <col min="1537" max="1537" width="4.83203125" style="846" customWidth="1"/>
    <col min="1538" max="1538" width="30.1640625" style="846" customWidth="1"/>
    <col min="1539" max="1540" width="9" style="846" customWidth="1"/>
    <col min="1541" max="1541" width="9.5" style="846" customWidth="1"/>
    <col min="1542" max="1542" width="8.83203125" style="846" customWidth="1"/>
    <col min="1543" max="1543" width="10.1640625" style="846" customWidth="1"/>
    <col min="1544" max="1544" width="8.83203125" style="846" customWidth="1"/>
    <col min="1545" max="1545" width="8.1640625" style="846" customWidth="1"/>
    <col min="1546" max="1550" width="9.5" style="846" customWidth="1"/>
    <col min="1551" max="1551" width="12.6640625" style="846" customWidth="1"/>
    <col min="1552" max="1553" width="9.33203125" style="846"/>
    <col min="1554" max="1554" width="11.83203125" style="846" bestFit="1" customWidth="1"/>
    <col min="1555" max="1792" width="9.33203125" style="846"/>
    <col min="1793" max="1793" width="4.83203125" style="846" customWidth="1"/>
    <col min="1794" max="1794" width="30.1640625" style="846" customWidth="1"/>
    <col min="1795" max="1796" width="9" style="846" customWidth="1"/>
    <col min="1797" max="1797" width="9.5" style="846" customWidth="1"/>
    <col min="1798" max="1798" width="8.83203125" style="846" customWidth="1"/>
    <col min="1799" max="1799" width="10.1640625" style="846" customWidth="1"/>
    <col min="1800" max="1800" width="8.83203125" style="846" customWidth="1"/>
    <col min="1801" max="1801" width="8.1640625" style="846" customWidth="1"/>
    <col min="1802" max="1806" width="9.5" style="846" customWidth="1"/>
    <col min="1807" max="1807" width="12.6640625" style="846" customWidth="1"/>
    <col min="1808" max="1809" width="9.33203125" style="846"/>
    <col min="1810" max="1810" width="11.83203125" style="846" bestFit="1" customWidth="1"/>
    <col min="1811" max="2048" width="9.33203125" style="846"/>
    <col min="2049" max="2049" width="4.83203125" style="846" customWidth="1"/>
    <col min="2050" max="2050" width="30.1640625" style="846" customWidth="1"/>
    <col min="2051" max="2052" width="9" style="846" customWidth="1"/>
    <col min="2053" max="2053" width="9.5" style="846" customWidth="1"/>
    <col min="2054" max="2054" width="8.83203125" style="846" customWidth="1"/>
    <col min="2055" max="2055" width="10.1640625" style="846" customWidth="1"/>
    <col min="2056" max="2056" width="8.83203125" style="846" customWidth="1"/>
    <col min="2057" max="2057" width="8.1640625" style="846" customWidth="1"/>
    <col min="2058" max="2062" width="9.5" style="846" customWidth="1"/>
    <col min="2063" max="2063" width="12.6640625" style="846" customWidth="1"/>
    <col min="2064" max="2065" width="9.33203125" style="846"/>
    <col min="2066" max="2066" width="11.83203125" style="846" bestFit="1" customWidth="1"/>
    <col min="2067" max="2304" width="9.33203125" style="846"/>
    <col min="2305" max="2305" width="4.83203125" style="846" customWidth="1"/>
    <col min="2306" max="2306" width="30.1640625" style="846" customWidth="1"/>
    <col min="2307" max="2308" width="9" style="846" customWidth="1"/>
    <col min="2309" max="2309" width="9.5" style="846" customWidth="1"/>
    <col min="2310" max="2310" width="8.83203125" style="846" customWidth="1"/>
    <col min="2311" max="2311" width="10.1640625" style="846" customWidth="1"/>
    <col min="2312" max="2312" width="8.83203125" style="846" customWidth="1"/>
    <col min="2313" max="2313" width="8.1640625" style="846" customWidth="1"/>
    <col min="2314" max="2318" width="9.5" style="846" customWidth="1"/>
    <col min="2319" max="2319" width="12.6640625" style="846" customWidth="1"/>
    <col min="2320" max="2321" width="9.33203125" style="846"/>
    <col min="2322" max="2322" width="11.83203125" style="846" bestFit="1" customWidth="1"/>
    <col min="2323" max="2560" width="9.33203125" style="846"/>
    <col min="2561" max="2561" width="4.83203125" style="846" customWidth="1"/>
    <col min="2562" max="2562" width="30.1640625" style="846" customWidth="1"/>
    <col min="2563" max="2564" width="9" style="846" customWidth="1"/>
    <col min="2565" max="2565" width="9.5" style="846" customWidth="1"/>
    <col min="2566" max="2566" width="8.83203125" style="846" customWidth="1"/>
    <col min="2567" max="2567" width="10.1640625" style="846" customWidth="1"/>
    <col min="2568" max="2568" width="8.83203125" style="846" customWidth="1"/>
    <col min="2569" max="2569" width="8.1640625" style="846" customWidth="1"/>
    <col min="2570" max="2574" width="9.5" style="846" customWidth="1"/>
    <col min="2575" max="2575" width="12.6640625" style="846" customWidth="1"/>
    <col min="2576" max="2577" width="9.33203125" style="846"/>
    <col min="2578" max="2578" width="11.83203125" style="846" bestFit="1" customWidth="1"/>
    <col min="2579" max="2816" width="9.33203125" style="846"/>
    <col min="2817" max="2817" width="4.83203125" style="846" customWidth="1"/>
    <col min="2818" max="2818" width="30.1640625" style="846" customWidth="1"/>
    <col min="2819" max="2820" width="9" style="846" customWidth="1"/>
    <col min="2821" max="2821" width="9.5" style="846" customWidth="1"/>
    <col min="2822" max="2822" width="8.83203125" style="846" customWidth="1"/>
    <col min="2823" max="2823" width="10.1640625" style="846" customWidth="1"/>
    <col min="2824" max="2824" width="8.83203125" style="846" customWidth="1"/>
    <col min="2825" max="2825" width="8.1640625" style="846" customWidth="1"/>
    <col min="2826" max="2830" width="9.5" style="846" customWidth="1"/>
    <col min="2831" max="2831" width="12.6640625" style="846" customWidth="1"/>
    <col min="2832" max="2833" width="9.33203125" style="846"/>
    <col min="2834" max="2834" width="11.83203125" style="846" bestFit="1" customWidth="1"/>
    <col min="2835" max="3072" width="9.33203125" style="846"/>
    <col min="3073" max="3073" width="4.83203125" style="846" customWidth="1"/>
    <col min="3074" max="3074" width="30.1640625" style="846" customWidth="1"/>
    <col min="3075" max="3076" width="9" style="846" customWidth="1"/>
    <col min="3077" max="3077" width="9.5" style="846" customWidth="1"/>
    <col min="3078" max="3078" width="8.83203125" style="846" customWidth="1"/>
    <col min="3079" max="3079" width="10.1640625" style="846" customWidth="1"/>
    <col min="3080" max="3080" width="8.83203125" style="846" customWidth="1"/>
    <col min="3081" max="3081" width="8.1640625" style="846" customWidth="1"/>
    <col min="3082" max="3086" width="9.5" style="846" customWidth="1"/>
    <col min="3087" max="3087" width="12.6640625" style="846" customWidth="1"/>
    <col min="3088" max="3089" width="9.33203125" style="846"/>
    <col min="3090" max="3090" width="11.83203125" style="846" bestFit="1" customWidth="1"/>
    <col min="3091" max="3328" width="9.33203125" style="846"/>
    <col min="3329" max="3329" width="4.83203125" style="846" customWidth="1"/>
    <col min="3330" max="3330" width="30.1640625" style="846" customWidth="1"/>
    <col min="3331" max="3332" width="9" style="846" customWidth="1"/>
    <col min="3333" max="3333" width="9.5" style="846" customWidth="1"/>
    <col min="3334" max="3334" width="8.83203125" style="846" customWidth="1"/>
    <col min="3335" max="3335" width="10.1640625" style="846" customWidth="1"/>
    <col min="3336" max="3336" width="8.83203125" style="846" customWidth="1"/>
    <col min="3337" max="3337" width="8.1640625" style="846" customWidth="1"/>
    <col min="3338" max="3342" width="9.5" style="846" customWidth="1"/>
    <col min="3343" max="3343" width="12.6640625" style="846" customWidth="1"/>
    <col min="3344" max="3345" width="9.33203125" style="846"/>
    <col min="3346" max="3346" width="11.83203125" style="846" bestFit="1" customWidth="1"/>
    <col min="3347" max="3584" width="9.33203125" style="846"/>
    <col min="3585" max="3585" width="4.83203125" style="846" customWidth="1"/>
    <col min="3586" max="3586" width="30.1640625" style="846" customWidth="1"/>
    <col min="3587" max="3588" width="9" style="846" customWidth="1"/>
    <col min="3589" max="3589" width="9.5" style="846" customWidth="1"/>
    <col min="3590" max="3590" width="8.83203125" style="846" customWidth="1"/>
    <col min="3591" max="3591" width="10.1640625" style="846" customWidth="1"/>
    <col min="3592" max="3592" width="8.83203125" style="846" customWidth="1"/>
    <col min="3593" max="3593" width="8.1640625" style="846" customWidth="1"/>
    <col min="3594" max="3598" width="9.5" style="846" customWidth="1"/>
    <col min="3599" max="3599" width="12.6640625" style="846" customWidth="1"/>
    <col min="3600" max="3601" width="9.33203125" style="846"/>
    <col min="3602" max="3602" width="11.83203125" style="846" bestFit="1" customWidth="1"/>
    <col min="3603" max="3840" width="9.33203125" style="846"/>
    <col min="3841" max="3841" width="4.83203125" style="846" customWidth="1"/>
    <col min="3842" max="3842" width="30.1640625" style="846" customWidth="1"/>
    <col min="3843" max="3844" width="9" style="846" customWidth="1"/>
    <col min="3845" max="3845" width="9.5" style="846" customWidth="1"/>
    <col min="3846" max="3846" width="8.83203125" style="846" customWidth="1"/>
    <col min="3847" max="3847" width="10.1640625" style="846" customWidth="1"/>
    <col min="3848" max="3848" width="8.83203125" style="846" customWidth="1"/>
    <col min="3849" max="3849" width="8.1640625" style="846" customWidth="1"/>
    <col min="3850" max="3854" width="9.5" style="846" customWidth="1"/>
    <col min="3855" max="3855" width="12.6640625" style="846" customWidth="1"/>
    <col min="3856" max="3857" width="9.33203125" style="846"/>
    <col min="3858" max="3858" width="11.83203125" style="846" bestFit="1" customWidth="1"/>
    <col min="3859" max="4096" width="9.33203125" style="846"/>
    <col min="4097" max="4097" width="4.83203125" style="846" customWidth="1"/>
    <col min="4098" max="4098" width="30.1640625" style="846" customWidth="1"/>
    <col min="4099" max="4100" width="9" style="846" customWidth="1"/>
    <col min="4101" max="4101" width="9.5" style="846" customWidth="1"/>
    <col min="4102" max="4102" width="8.83203125" style="846" customWidth="1"/>
    <col min="4103" max="4103" width="10.1640625" style="846" customWidth="1"/>
    <col min="4104" max="4104" width="8.83203125" style="846" customWidth="1"/>
    <col min="4105" max="4105" width="8.1640625" style="846" customWidth="1"/>
    <col min="4106" max="4110" width="9.5" style="846" customWidth="1"/>
    <col min="4111" max="4111" width="12.6640625" style="846" customWidth="1"/>
    <col min="4112" max="4113" width="9.33203125" style="846"/>
    <col min="4114" max="4114" width="11.83203125" style="846" bestFit="1" customWidth="1"/>
    <col min="4115" max="4352" width="9.33203125" style="846"/>
    <col min="4353" max="4353" width="4.83203125" style="846" customWidth="1"/>
    <col min="4354" max="4354" width="30.1640625" style="846" customWidth="1"/>
    <col min="4355" max="4356" width="9" style="846" customWidth="1"/>
    <col min="4357" max="4357" width="9.5" style="846" customWidth="1"/>
    <col min="4358" max="4358" width="8.83203125" style="846" customWidth="1"/>
    <col min="4359" max="4359" width="10.1640625" style="846" customWidth="1"/>
    <col min="4360" max="4360" width="8.83203125" style="846" customWidth="1"/>
    <col min="4361" max="4361" width="8.1640625" style="846" customWidth="1"/>
    <col min="4362" max="4366" width="9.5" style="846" customWidth="1"/>
    <col min="4367" max="4367" width="12.6640625" style="846" customWidth="1"/>
    <col min="4368" max="4369" width="9.33203125" style="846"/>
    <col min="4370" max="4370" width="11.83203125" style="846" bestFit="1" customWidth="1"/>
    <col min="4371" max="4608" width="9.33203125" style="846"/>
    <col min="4609" max="4609" width="4.83203125" style="846" customWidth="1"/>
    <col min="4610" max="4610" width="30.1640625" style="846" customWidth="1"/>
    <col min="4611" max="4612" width="9" style="846" customWidth="1"/>
    <col min="4613" max="4613" width="9.5" style="846" customWidth="1"/>
    <col min="4614" max="4614" width="8.83203125" style="846" customWidth="1"/>
    <col min="4615" max="4615" width="10.1640625" style="846" customWidth="1"/>
    <col min="4616" max="4616" width="8.83203125" style="846" customWidth="1"/>
    <col min="4617" max="4617" width="8.1640625" style="846" customWidth="1"/>
    <col min="4618" max="4622" width="9.5" style="846" customWidth="1"/>
    <col min="4623" max="4623" width="12.6640625" style="846" customWidth="1"/>
    <col min="4624" max="4625" width="9.33203125" style="846"/>
    <col min="4626" max="4626" width="11.83203125" style="846" bestFit="1" customWidth="1"/>
    <col min="4627" max="4864" width="9.33203125" style="846"/>
    <col min="4865" max="4865" width="4.83203125" style="846" customWidth="1"/>
    <col min="4866" max="4866" width="30.1640625" style="846" customWidth="1"/>
    <col min="4867" max="4868" width="9" style="846" customWidth="1"/>
    <col min="4869" max="4869" width="9.5" style="846" customWidth="1"/>
    <col min="4870" max="4870" width="8.83203125" style="846" customWidth="1"/>
    <col min="4871" max="4871" width="10.1640625" style="846" customWidth="1"/>
    <col min="4872" max="4872" width="8.83203125" style="846" customWidth="1"/>
    <col min="4873" max="4873" width="8.1640625" style="846" customWidth="1"/>
    <col min="4874" max="4878" width="9.5" style="846" customWidth="1"/>
    <col min="4879" max="4879" width="12.6640625" style="846" customWidth="1"/>
    <col min="4880" max="4881" width="9.33203125" style="846"/>
    <col min="4882" max="4882" width="11.83203125" style="846" bestFit="1" customWidth="1"/>
    <col min="4883" max="5120" width="9.33203125" style="846"/>
    <col min="5121" max="5121" width="4.83203125" style="846" customWidth="1"/>
    <col min="5122" max="5122" width="30.1640625" style="846" customWidth="1"/>
    <col min="5123" max="5124" width="9" style="846" customWidth="1"/>
    <col min="5125" max="5125" width="9.5" style="846" customWidth="1"/>
    <col min="5126" max="5126" width="8.83203125" style="846" customWidth="1"/>
    <col min="5127" max="5127" width="10.1640625" style="846" customWidth="1"/>
    <col min="5128" max="5128" width="8.83203125" style="846" customWidth="1"/>
    <col min="5129" max="5129" width="8.1640625" style="846" customWidth="1"/>
    <col min="5130" max="5134" width="9.5" style="846" customWidth="1"/>
    <col min="5135" max="5135" width="12.6640625" style="846" customWidth="1"/>
    <col min="5136" max="5137" width="9.33203125" style="846"/>
    <col min="5138" max="5138" width="11.83203125" style="846" bestFit="1" customWidth="1"/>
    <col min="5139" max="5376" width="9.33203125" style="846"/>
    <col min="5377" max="5377" width="4.83203125" style="846" customWidth="1"/>
    <col min="5378" max="5378" width="30.1640625" style="846" customWidth="1"/>
    <col min="5379" max="5380" width="9" style="846" customWidth="1"/>
    <col min="5381" max="5381" width="9.5" style="846" customWidth="1"/>
    <col min="5382" max="5382" width="8.83203125" style="846" customWidth="1"/>
    <col min="5383" max="5383" width="10.1640625" style="846" customWidth="1"/>
    <col min="5384" max="5384" width="8.83203125" style="846" customWidth="1"/>
    <col min="5385" max="5385" width="8.1640625" style="846" customWidth="1"/>
    <col min="5386" max="5390" width="9.5" style="846" customWidth="1"/>
    <col min="5391" max="5391" width="12.6640625" style="846" customWidth="1"/>
    <col min="5392" max="5393" width="9.33203125" style="846"/>
    <col min="5394" max="5394" width="11.83203125" style="846" bestFit="1" customWidth="1"/>
    <col min="5395" max="5632" width="9.33203125" style="846"/>
    <col min="5633" max="5633" width="4.83203125" style="846" customWidth="1"/>
    <col min="5634" max="5634" width="30.1640625" style="846" customWidth="1"/>
    <col min="5635" max="5636" width="9" style="846" customWidth="1"/>
    <col min="5637" max="5637" width="9.5" style="846" customWidth="1"/>
    <col min="5638" max="5638" width="8.83203125" style="846" customWidth="1"/>
    <col min="5639" max="5639" width="10.1640625" style="846" customWidth="1"/>
    <col min="5640" max="5640" width="8.83203125" style="846" customWidth="1"/>
    <col min="5641" max="5641" width="8.1640625" style="846" customWidth="1"/>
    <col min="5642" max="5646" width="9.5" style="846" customWidth="1"/>
    <col min="5647" max="5647" width="12.6640625" style="846" customWidth="1"/>
    <col min="5648" max="5649" width="9.33203125" style="846"/>
    <col min="5650" max="5650" width="11.83203125" style="846" bestFit="1" customWidth="1"/>
    <col min="5651" max="5888" width="9.33203125" style="846"/>
    <col min="5889" max="5889" width="4.83203125" style="846" customWidth="1"/>
    <col min="5890" max="5890" width="30.1640625" style="846" customWidth="1"/>
    <col min="5891" max="5892" width="9" style="846" customWidth="1"/>
    <col min="5893" max="5893" width="9.5" style="846" customWidth="1"/>
    <col min="5894" max="5894" width="8.83203125" style="846" customWidth="1"/>
    <col min="5895" max="5895" width="10.1640625" style="846" customWidth="1"/>
    <col min="5896" max="5896" width="8.83203125" style="846" customWidth="1"/>
    <col min="5897" max="5897" width="8.1640625" style="846" customWidth="1"/>
    <col min="5898" max="5902" width="9.5" style="846" customWidth="1"/>
    <col min="5903" max="5903" width="12.6640625" style="846" customWidth="1"/>
    <col min="5904" max="5905" width="9.33203125" style="846"/>
    <col min="5906" max="5906" width="11.83203125" style="846" bestFit="1" customWidth="1"/>
    <col min="5907" max="6144" width="9.33203125" style="846"/>
    <col min="6145" max="6145" width="4.83203125" style="846" customWidth="1"/>
    <col min="6146" max="6146" width="30.1640625" style="846" customWidth="1"/>
    <col min="6147" max="6148" width="9" style="846" customWidth="1"/>
    <col min="6149" max="6149" width="9.5" style="846" customWidth="1"/>
    <col min="6150" max="6150" width="8.83203125" style="846" customWidth="1"/>
    <col min="6151" max="6151" width="10.1640625" style="846" customWidth="1"/>
    <col min="6152" max="6152" width="8.83203125" style="846" customWidth="1"/>
    <col min="6153" max="6153" width="8.1640625" style="846" customWidth="1"/>
    <col min="6154" max="6158" width="9.5" style="846" customWidth="1"/>
    <col min="6159" max="6159" width="12.6640625" style="846" customWidth="1"/>
    <col min="6160" max="6161" width="9.33203125" style="846"/>
    <col min="6162" max="6162" width="11.83203125" style="846" bestFit="1" customWidth="1"/>
    <col min="6163" max="6400" width="9.33203125" style="846"/>
    <col min="6401" max="6401" width="4.83203125" style="846" customWidth="1"/>
    <col min="6402" max="6402" width="30.1640625" style="846" customWidth="1"/>
    <col min="6403" max="6404" width="9" style="846" customWidth="1"/>
    <col min="6405" max="6405" width="9.5" style="846" customWidth="1"/>
    <col min="6406" max="6406" width="8.83203125" style="846" customWidth="1"/>
    <col min="6407" max="6407" width="10.1640625" style="846" customWidth="1"/>
    <col min="6408" max="6408" width="8.83203125" style="846" customWidth="1"/>
    <col min="6409" max="6409" width="8.1640625" style="846" customWidth="1"/>
    <col min="6410" max="6414" width="9.5" style="846" customWidth="1"/>
    <col min="6415" max="6415" width="12.6640625" style="846" customWidth="1"/>
    <col min="6416" max="6417" width="9.33203125" style="846"/>
    <col min="6418" max="6418" width="11.83203125" style="846" bestFit="1" customWidth="1"/>
    <col min="6419" max="6656" width="9.33203125" style="846"/>
    <col min="6657" max="6657" width="4.83203125" style="846" customWidth="1"/>
    <col min="6658" max="6658" width="30.1640625" style="846" customWidth="1"/>
    <col min="6659" max="6660" width="9" style="846" customWidth="1"/>
    <col min="6661" max="6661" width="9.5" style="846" customWidth="1"/>
    <col min="6662" max="6662" width="8.83203125" style="846" customWidth="1"/>
    <col min="6663" max="6663" width="10.1640625" style="846" customWidth="1"/>
    <col min="6664" max="6664" width="8.83203125" style="846" customWidth="1"/>
    <col min="6665" max="6665" width="8.1640625" style="846" customWidth="1"/>
    <col min="6666" max="6670" width="9.5" style="846" customWidth="1"/>
    <col min="6671" max="6671" width="12.6640625" style="846" customWidth="1"/>
    <col min="6672" max="6673" width="9.33203125" style="846"/>
    <col min="6674" max="6674" width="11.83203125" style="846" bestFit="1" customWidth="1"/>
    <col min="6675" max="6912" width="9.33203125" style="846"/>
    <col min="6913" max="6913" width="4.83203125" style="846" customWidth="1"/>
    <col min="6914" max="6914" width="30.1640625" style="846" customWidth="1"/>
    <col min="6915" max="6916" width="9" style="846" customWidth="1"/>
    <col min="6917" max="6917" width="9.5" style="846" customWidth="1"/>
    <col min="6918" max="6918" width="8.83203125" style="846" customWidth="1"/>
    <col min="6919" max="6919" width="10.1640625" style="846" customWidth="1"/>
    <col min="6920" max="6920" width="8.83203125" style="846" customWidth="1"/>
    <col min="6921" max="6921" width="8.1640625" style="846" customWidth="1"/>
    <col min="6922" max="6926" width="9.5" style="846" customWidth="1"/>
    <col min="6927" max="6927" width="12.6640625" style="846" customWidth="1"/>
    <col min="6928" max="6929" width="9.33203125" style="846"/>
    <col min="6930" max="6930" width="11.83203125" style="846" bestFit="1" customWidth="1"/>
    <col min="6931" max="7168" width="9.33203125" style="846"/>
    <col min="7169" max="7169" width="4.83203125" style="846" customWidth="1"/>
    <col min="7170" max="7170" width="30.1640625" style="846" customWidth="1"/>
    <col min="7171" max="7172" width="9" style="846" customWidth="1"/>
    <col min="7173" max="7173" width="9.5" style="846" customWidth="1"/>
    <col min="7174" max="7174" width="8.83203125" style="846" customWidth="1"/>
    <col min="7175" max="7175" width="10.1640625" style="846" customWidth="1"/>
    <col min="7176" max="7176" width="8.83203125" style="846" customWidth="1"/>
    <col min="7177" max="7177" width="8.1640625" style="846" customWidth="1"/>
    <col min="7178" max="7182" width="9.5" style="846" customWidth="1"/>
    <col min="7183" max="7183" width="12.6640625" style="846" customWidth="1"/>
    <col min="7184" max="7185" width="9.33203125" style="846"/>
    <col min="7186" max="7186" width="11.83203125" style="846" bestFit="1" customWidth="1"/>
    <col min="7187" max="7424" width="9.33203125" style="846"/>
    <col min="7425" max="7425" width="4.83203125" style="846" customWidth="1"/>
    <col min="7426" max="7426" width="30.1640625" style="846" customWidth="1"/>
    <col min="7427" max="7428" width="9" style="846" customWidth="1"/>
    <col min="7429" max="7429" width="9.5" style="846" customWidth="1"/>
    <col min="7430" max="7430" width="8.83203125" style="846" customWidth="1"/>
    <col min="7431" max="7431" width="10.1640625" style="846" customWidth="1"/>
    <col min="7432" max="7432" width="8.83203125" style="846" customWidth="1"/>
    <col min="7433" max="7433" width="8.1640625" style="846" customWidth="1"/>
    <col min="7434" max="7438" width="9.5" style="846" customWidth="1"/>
    <col min="7439" max="7439" width="12.6640625" style="846" customWidth="1"/>
    <col min="7440" max="7441" width="9.33203125" style="846"/>
    <col min="7442" max="7442" width="11.83203125" style="846" bestFit="1" customWidth="1"/>
    <col min="7443" max="7680" width="9.33203125" style="846"/>
    <col min="7681" max="7681" width="4.83203125" style="846" customWidth="1"/>
    <col min="7682" max="7682" width="30.1640625" style="846" customWidth="1"/>
    <col min="7683" max="7684" width="9" style="846" customWidth="1"/>
    <col min="7685" max="7685" width="9.5" style="846" customWidth="1"/>
    <col min="7686" max="7686" width="8.83203125" style="846" customWidth="1"/>
    <col min="7687" max="7687" width="10.1640625" style="846" customWidth="1"/>
    <col min="7688" max="7688" width="8.83203125" style="846" customWidth="1"/>
    <col min="7689" max="7689" width="8.1640625" style="846" customWidth="1"/>
    <col min="7690" max="7694" width="9.5" style="846" customWidth="1"/>
    <col min="7695" max="7695" width="12.6640625" style="846" customWidth="1"/>
    <col min="7696" max="7697" width="9.33203125" style="846"/>
    <col min="7698" max="7698" width="11.83203125" style="846" bestFit="1" customWidth="1"/>
    <col min="7699" max="7936" width="9.33203125" style="846"/>
    <col min="7937" max="7937" width="4.83203125" style="846" customWidth="1"/>
    <col min="7938" max="7938" width="30.1640625" style="846" customWidth="1"/>
    <col min="7939" max="7940" width="9" style="846" customWidth="1"/>
    <col min="7941" max="7941" width="9.5" style="846" customWidth="1"/>
    <col min="7942" max="7942" width="8.83203125" style="846" customWidth="1"/>
    <col min="7943" max="7943" width="10.1640625" style="846" customWidth="1"/>
    <col min="7944" max="7944" width="8.83203125" style="846" customWidth="1"/>
    <col min="7945" max="7945" width="8.1640625" style="846" customWidth="1"/>
    <col min="7946" max="7950" width="9.5" style="846" customWidth="1"/>
    <col min="7951" max="7951" width="12.6640625" style="846" customWidth="1"/>
    <col min="7952" max="7953" width="9.33203125" style="846"/>
    <col min="7954" max="7954" width="11.83203125" style="846" bestFit="1" customWidth="1"/>
    <col min="7955" max="8192" width="9.33203125" style="846"/>
    <col min="8193" max="8193" width="4.83203125" style="846" customWidth="1"/>
    <col min="8194" max="8194" width="30.1640625" style="846" customWidth="1"/>
    <col min="8195" max="8196" width="9" style="846" customWidth="1"/>
    <col min="8197" max="8197" width="9.5" style="846" customWidth="1"/>
    <col min="8198" max="8198" width="8.83203125" style="846" customWidth="1"/>
    <col min="8199" max="8199" width="10.1640625" style="846" customWidth="1"/>
    <col min="8200" max="8200" width="8.83203125" style="846" customWidth="1"/>
    <col min="8201" max="8201" width="8.1640625" style="846" customWidth="1"/>
    <col min="8202" max="8206" width="9.5" style="846" customWidth="1"/>
    <col min="8207" max="8207" width="12.6640625" style="846" customWidth="1"/>
    <col min="8208" max="8209" width="9.33203125" style="846"/>
    <col min="8210" max="8210" width="11.83203125" style="846" bestFit="1" customWidth="1"/>
    <col min="8211" max="8448" width="9.33203125" style="846"/>
    <col min="8449" max="8449" width="4.83203125" style="846" customWidth="1"/>
    <col min="8450" max="8450" width="30.1640625" style="846" customWidth="1"/>
    <col min="8451" max="8452" width="9" style="846" customWidth="1"/>
    <col min="8453" max="8453" width="9.5" style="846" customWidth="1"/>
    <col min="8454" max="8454" width="8.83203125" style="846" customWidth="1"/>
    <col min="8455" max="8455" width="10.1640625" style="846" customWidth="1"/>
    <col min="8456" max="8456" width="8.83203125" style="846" customWidth="1"/>
    <col min="8457" max="8457" width="8.1640625" style="846" customWidth="1"/>
    <col min="8458" max="8462" width="9.5" style="846" customWidth="1"/>
    <col min="8463" max="8463" width="12.6640625" style="846" customWidth="1"/>
    <col min="8464" max="8465" width="9.33203125" style="846"/>
    <col min="8466" max="8466" width="11.83203125" style="846" bestFit="1" customWidth="1"/>
    <col min="8467" max="8704" width="9.33203125" style="846"/>
    <col min="8705" max="8705" width="4.83203125" style="846" customWidth="1"/>
    <col min="8706" max="8706" width="30.1640625" style="846" customWidth="1"/>
    <col min="8707" max="8708" width="9" style="846" customWidth="1"/>
    <col min="8709" max="8709" width="9.5" style="846" customWidth="1"/>
    <col min="8710" max="8710" width="8.83203125" style="846" customWidth="1"/>
    <col min="8711" max="8711" width="10.1640625" style="846" customWidth="1"/>
    <col min="8712" max="8712" width="8.83203125" style="846" customWidth="1"/>
    <col min="8713" max="8713" width="8.1640625" style="846" customWidth="1"/>
    <col min="8714" max="8718" width="9.5" style="846" customWidth="1"/>
    <col min="8719" max="8719" width="12.6640625" style="846" customWidth="1"/>
    <col min="8720" max="8721" width="9.33203125" style="846"/>
    <col min="8722" max="8722" width="11.83203125" style="846" bestFit="1" customWidth="1"/>
    <col min="8723" max="8960" width="9.33203125" style="846"/>
    <col min="8961" max="8961" width="4.83203125" style="846" customWidth="1"/>
    <col min="8962" max="8962" width="30.1640625" style="846" customWidth="1"/>
    <col min="8963" max="8964" width="9" style="846" customWidth="1"/>
    <col min="8965" max="8965" width="9.5" style="846" customWidth="1"/>
    <col min="8966" max="8966" width="8.83203125" style="846" customWidth="1"/>
    <col min="8967" max="8967" width="10.1640625" style="846" customWidth="1"/>
    <col min="8968" max="8968" width="8.83203125" style="846" customWidth="1"/>
    <col min="8969" max="8969" width="8.1640625" style="846" customWidth="1"/>
    <col min="8970" max="8974" width="9.5" style="846" customWidth="1"/>
    <col min="8975" max="8975" width="12.6640625" style="846" customWidth="1"/>
    <col min="8976" max="8977" width="9.33203125" style="846"/>
    <col min="8978" max="8978" width="11.83203125" style="846" bestFit="1" customWidth="1"/>
    <col min="8979" max="9216" width="9.33203125" style="846"/>
    <col min="9217" max="9217" width="4.83203125" style="846" customWidth="1"/>
    <col min="9218" max="9218" width="30.1640625" style="846" customWidth="1"/>
    <col min="9219" max="9220" width="9" style="846" customWidth="1"/>
    <col min="9221" max="9221" width="9.5" style="846" customWidth="1"/>
    <col min="9222" max="9222" width="8.83203125" style="846" customWidth="1"/>
    <col min="9223" max="9223" width="10.1640625" style="846" customWidth="1"/>
    <col min="9224" max="9224" width="8.83203125" style="846" customWidth="1"/>
    <col min="9225" max="9225" width="8.1640625" style="846" customWidth="1"/>
    <col min="9226" max="9230" width="9.5" style="846" customWidth="1"/>
    <col min="9231" max="9231" width="12.6640625" style="846" customWidth="1"/>
    <col min="9232" max="9233" width="9.33203125" style="846"/>
    <col min="9234" max="9234" width="11.83203125" style="846" bestFit="1" customWidth="1"/>
    <col min="9235" max="9472" width="9.33203125" style="846"/>
    <col min="9473" max="9473" width="4.83203125" style="846" customWidth="1"/>
    <col min="9474" max="9474" width="30.1640625" style="846" customWidth="1"/>
    <col min="9475" max="9476" width="9" style="846" customWidth="1"/>
    <col min="9477" max="9477" width="9.5" style="846" customWidth="1"/>
    <col min="9478" max="9478" width="8.83203125" style="846" customWidth="1"/>
    <col min="9479" max="9479" width="10.1640625" style="846" customWidth="1"/>
    <col min="9480" max="9480" width="8.83203125" style="846" customWidth="1"/>
    <col min="9481" max="9481" width="8.1640625" style="846" customWidth="1"/>
    <col min="9482" max="9486" width="9.5" style="846" customWidth="1"/>
    <col min="9487" max="9487" width="12.6640625" style="846" customWidth="1"/>
    <col min="9488" max="9489" width="9.33203125" style="846"/>
    <col min="9490" max="9490" width="11.83203125" style="846" bestFit="1" customWidth="1"/>
    <col min="9491" max="9728" width="9.33203125" style="846"/>
    <col min="9729" max="9729" width="4.83203125" style="846" customWidth="1"/>
    <col min="9730" max="9730" width="30.1640625" style="846" customWidth="1"/>
    <col min="9731" max="9732" width="9" style="846" customWidth="1"/>
    <col min="9733" max="9733" width="9.5" style="846" customWidth="1"/>
    <col min="9734" max="9734" width="8.83203125" style="846" customWidth="1"/>
    <col min="9735" max="9735" width="10.1640625" style="846" customWidth="1"/>
    <col min="9736" max="9736" width="8.83203125" style="846" customWidth="1"/>
    <col min="9737" max="9737" width="8.1640625" style="846" customWidth="1"/>
    <col min="9738" max="9742" width="9.5" style="846" customWidth="1"/>
    <col min="9743" max="9743" width="12.6640625" style="846" customWidth="1"/>
    <col min="9744" max="9745" width="9.33203125" style="846"/>
    <col min="9746" max="9746" width="11.83203125" style="846" bestFit="1" customWidth="1"/>
    <col min="9747" max="9984" width="9.33203125" style="846"/>
    <col min="9985" max="9985" width="4.83203125" style="846" customWidth="1"/>
    <col min="9986" max="9986" width="30.1640625" style="846" customWidth="1"/>
    <col min="9987" max="9988" width="9" style="846" customWidth="1"/>
    <col min="9989" max="9989" width="9.5" style="846" customWidth="1"/>
    <col min="9990" max="9990" width="8.83203125" style="846" customWidth="1"/>
    <col min="9991" max="9991" width="10.1640625" style="846" customWidth="1"/>
    <col min="9992" max="9992" width="8.83203125" style="846" customWidth="1"/>
    <col min="9993" max="9993" width="8.1640625" style="846" customWidth="1"/>
    <col min="9994" max="9998" width="9.5" style="846" customWidth="1"/>
    <col min="9999" max="9999" width="12.6640625" style="846" customWidth="1"/>
    <col min="10000" max="10001" width="9.33203125" style="846"/>
    <col min="10002" max="10002" width="11.83203125" style="846" bestFit="1" customWidth="1"/>
    <col min="10003" max="10240" width="9.33203125" style="846"/>
    <col min="10241" max="10241" width="4.83203125" style="846" customWidth="1"/>
    <col min="10242" max="10242" width="30.1640625" style="846" customWidth="1"/>
    <col min="10243" max="10244" width="9" style="846" customWidth="1"/>
    <col min="10245" max="10245" width="9.5" style="846" customWidth="1"/>
    <col min="10246" max="10246" width="8.83203125" style="846" customWidth="1"/>
    <col min="10247" max="10247" width="10.1640625" style="846" customWidth="1"/>
    <col min="10248" max="10248" width="8.83203125" style="846" customWidth="1"/>
    <col min="10249" max="10249" width="8.1640625" style="846" customWidth="1"/>
    <col min="10250" max="10254" width="9.5" style="846" customWidth="1"/>
    <col min="10255" max="10255" width="12.6640625" style="846" customWidth="1"/>
    <col min="10256" max="10257" width="9.33203125" style="846"/>
    <col min="10258" max="10258" width="11.83203125" style="846" bestFit="1" customWidth="1"/>
    <col min="10259" max="10496" width="9.33203125" style="846"/>
    <col min="10497" max="10497" width="4.83203125" style="846" customWidth="1"/>
    <col min="10498" max="10498" width="30.1640625" style="846" customWidth="1"/>
    <col min="10499" max="10500" width="9" style="846" customWidth="1"/>
    <col min="10501" max="10501" width="9.5" style="846" customWidth="1"/>
    <col min="10502" max="10502" width="8.83203125" style="846" customWidth="1"/>
    <col min="10503" max="10503" width="10.1640625" style="846" customWidth="1"/>
    <col min="10504" max="10504" width="8.83203125" style="846" customWidth="1"/>
    <col min="10505" max="10505" width="8.1640625" style="846" customWidth="1"/>
    <col min="10506" max="10510" width="9.5" style="846" customWidth="1"/>
    <col min="10511" max="10511" width="12.6640625" style="846" customWidth="1"/>
    <col min="10512" max="10513" width="9.33203125" style="846"/>
    <col min="10514" max="10514" width="11.83203125" style="846" bestFit="1" customWidth="1"/>
    <col min="10515" max="10752" width="9.33203125" style="846"/>
    <col min="10753" max="10753" width="4.83203125" style="846" customWidth="1"/>
    <col min="10754" max="10754" width="30.1640625" style="846" customWidth="1"/>
    <col min="10755" max="10756" width="9" style="846" customWidth="1"/>
    <col min="10757" max="10757" width="9.5" style="846" customWidth="1"/>
    <col min="10758" max="10758" width="8.83203125" style="846" customWidth="1"/>
    <col min="10759" max="10759" width="10.1640625" style="846" customWidth="1"/>
    <col min="10760" max="10760" width="8.83203125" style="846" customWidth="1"/>
    <col min="10761" max="10761" width="8.1640625" style="846" customWidth="1"/>
    <col min="10762" max="10766" width="9.5" style="846" customWidth="1"/>
    <col min="10767" max="10767" width="12.6640625" style="846" customWidth="1"/>
    <col min="10768" max="10769" width="9.33203125" style="846"/>
    <col min="10770" max="10770" width="11.83203125" style="846" bestFit="1" customWidth="1"/>
    <col min="10771" max="11008" width="9.33203125" style="846"/>
    <col min="11009" max="11009" width="4.83203125" style="846" customWidth="1"/>
    <col min="11010" max="11010" width="30.1640625" style="846" customWidth="1"/>
    <col min="11011" max="11012" width="9" style="846" customWidth="1"/>
    <col min="11013" max="11013" width="9.5" style="846" customWidth="1"/>
    <col min="11014" max="11014" width="8.83203125" style="846" customWidth="1"/>
    <col min="11015" max="11015" width="10.1640625" style="846" customWidth="1"/>
    <col min="11016" max="11016" width="8.83203125" style="846" customWidth="1"/>
    <col min="11017" max="11017" width="8.1640625" style="846" customWidth="1"/>
    <col min="11018" max="11022" width="9.5" style="846" customWidth="1"/>
    <col min="11023" max="11023" width="12.6640625" style="846" customWidth="1"/>
    <col min="11024" max="11025" width="9.33203125" style="846"/>
    <col min="11026" max="11026" width="11.83203125" style="846" bestFit="1" customWidth="1"/>
    <col min="11027" max="11264" width="9.33203125" style="846"/>
    <col min="11265" max="11265" width="4.83203125" style="846" customWidth="1"/>
    <col min="11266" max="11266" width="30.1640625" style="846" customWidth="1"/>
    <col min="11267" max="11268" width="9" style="846" customWidth="1"/>
    <col min="11269" max="11269" width="9.5" style="846" customWidth="1"/>
    <col min="11270" max="11270" width="8.83203125" style="846" customWidth="1"/>
    <col min="11271" max="11271" width="10.1640625" style="846" customWidth="1"/>
    <col min="11272" max="11272" width="8.83203125" style="846" customWidth="1"/>
    <col min="11273" max="11273" width="8.1640625" style="846" customWidth="1"/>
    <col min="11274" max="11278" width="9.5" style="846" customWidth="1"/>
    <col min="11279" max="11279" width="12.6640625" style="846" customWidth="1"/>
    <col min="11280" max="11281" width="9.33203125" style="846"/>
    <col min="11282" max="11282" width="11.83203125" style="846" bestFit="1" customWidth="1"/>
    <col min="11283" max="11520" width="9.33203125" style="846"/>
    <col min="11521" max="11521" width="4.83203125" style="846" customWidth="1"/>
    <col min="11522" max="11522" width="30.1640625" style="846" customWidth="1"/>
    <col min="11523" max="11524" width="9" style="846" customWidth="1"/>
    <col min="11525" max="11525" width="9.5" style="846" customWidth="1"/>
    <col min="11526" max="11526" width="8.83203125" style="846" customWidth="1"/>
    <col min="11527" max="11527" width="10.1640625" style="846" customWidth="1"/>
    <col min="11528" max="11528" width="8.83203125" style="846" customWidth="1"/>
    <col min="11529" max="11529" width="8.1640625" style="846" customWidth="1"/>
    <col min="11530" max="11534" width="9.5" style="846" customWidth="1"/>
    <col min="11535" max="11535" width="12.6640625" style="846" customWidth="1"/>
    <col min="11536" max="11537" width="9.33203125" style="846"/>
    <col min="11538" max="11538" width="11.83203125" style="846" bestFit="1" customWidth="1"/>
    <col min="11539" max="11776" width="9.33203125" style="846"/>
    <col min="11777" max="11777" width="4.83203125" style="846" customWidth="1"/>
    <col min="11778" max="11778" width="30.1640625" style="846" customWidth="1"/>
    <col min="11779" max="11780" width="9" style="846" customWidth="1"/>
    <col min="11781" max="11781" width="9.5" style="846" customWidth="1"/>
    <col min="11782" max="11782" width="8.83203125" style="846" customWidth="1"/>
    <col min="11783" max="11783" width="10.1640625" style="846" customWidth="1"/>
    <col min="11784" max="11784" width="8.83203125" style="846" customWidth="1"/>
    <col min="11785" max="11785" width="8.1640625" style="846" customWidth="1"/>
    <col min="11786" max="11790" width="9.5" style="846" customWidth="1"/>
    <col min="11791" max="11791" width="12.6640625" style="846" customWidth="1"/>
    <col min="11792" max="11793" width="9.33203125" style="846"/>
    <col min="11794" max="11794" width="11.83203125" style="846" bestFit="1" customWidth="1"/>
    <col min="11795" max="12032" width="9.33203125" style="846"/>
    <col min="12033" max="12033" width="4.83203125" style="846" customWidth="1"/>
    <col min="12034" max="12034" width="30.1640625" style="846" customWidth="1"/>
    <col min="12035" max="12036" width="9" style="846" customWidth="1"/>
    <col min="12037" max="12037" width="9.5" style="846" customWidth="1"/>
    <col min="12038" max="12038" width="8.83203125" style="846" customWidth="1"/>
    <col min="12039" max="12039" width="10.1640625" style="846" customWidth="1"/>
    <col min="12040" max="12040" width="8.83203125" style="846" customWidth="1"/>
    <col min="12041" max="12041" width="8.1640625" style="846" customWidth="1"/>
    <col min="12042" max="12046" width="9.5" style="846" customWidth="1"/>
    <col min="12047" max="12047" width="12.6640625" style="846" customWidth="1"/>
    <col min="12048" max="12049" width="9.33203125" style="846"/>
    <col min="12050" max="12050" width="11.83203125" style="846" bestFit="1" customWidth="1"/>
    <col min="12051" max="12288" width="9.33203125" style="846"/>
    <col min="12289" max="12289" width="4.83203125" style="846" customWidth="1"/>
    <col min="12290" max="12290" width="30.1640625" style="846" customWidth="1"/>
    <col min="12291" max="12292" width="9" style="846" customWidth="1"/>
    <col min="12293" max="12293" width="9.5" style="846" customWidth="1"/>
    <col min="12294" max="12294" width="8.83203125" style="846" customWidth="1"/>
    <col min="12295" max="12295" width="10.1640625" style="846" customWidth="1"/>
    <col min="12296" max="12296" width="8.83203125" style="846" customWidth="1"/>
    <col min="12297" max="12297" width="8.1640625" style="846" customWidth="1"/>
    <col min="12298" max="12302" width="9.5" style="846" customWidth="1"/>
    <col min="12303" max="12303" width="12.6640625" style="846" customWidth="1"/>
    <col min="12304" max="12305" width="9.33203125" style="846"/>
    <col min="12306" max="12306" width="11.83203125" style="846" bestFit="1" customWidth="1"/>
    <col min="12307" max="12544" width="9.33203125" style="846"/>
    <col min="12545" max="12545" width="4.83203125" style="846" customWidth="1"/>
    <col min="12546" max="12546" width="30.1640625" style="846" customWidth="1"/>
    <col min="12547" max="12548" width="9" style="846" customWidth="1"/>
    <col min="12549" max="12549" width="9.5" style="846" customWidth="1"/>
    <col min="12550" max="12550" width="8.83203125" style="846" customWidth="1"/>
    <col min="12551" max="12551" width="10.1640625" style="846" customWidth="1"/>
    <col min="12552" max="12552" width="8.83203125" style="846" customWidth="1"/>
    <col min="12553" max="12553" width="8.1640625" style="846" customWidth="1"/>
    <col min="12554" max="12558" width="9.5" style="846" customWidth="1"/>
    <col min="12559" max="12559" width="12.6640625" style="846" customWidth="1"/>
    <col min="12560" max="12561" width="9.33203125" style="846"/>
    <col min="12562" max="12562" width="11.83203125" style="846" bestFit="1" customWidth="1"/>
    <col min="12563" max="12800" width="9.33203125" style="846"/>
    <col min="12801" max="12801" width="4.83203125" style="846" customWidth="1"/>
    <col min="12802" max="12802" width="30.1640625" style="846" customWidth="1"/>
    <col min="12803" max="12804" width="9" style="846" customWidth="1"/>
    <col min="12805" max="12805" width="9.5" style="846" customWidth="1"/>
    <col min="12806" max="12806" width="8.83203125" style="846" customWidth="1"/>
    <col min="12807" max="12807" width="10.1640625" style="846" customWidth="1"/>
    <col min="12808" max="12808" width="8.83203125" style="846" customWidth="1"/>
    <col min="12809" max="12809" width="8.1640625" style="846" customWidth="1"/>
    <col min="12810" max="12814" width="9.5" style="846" customWidth="1"/>
    <col min="12815" max="12815" width="12.6640625" style="846" customWidth="1"/>
    <col min="12816" max="12817" width="9.33203125" style="846"/>
    <col min="12818" max="12818" width="11.83203125" style="846" bestFit="1" customWidth="1"/>
    <col min="12819" max="13056" width="9.33203125" style="846"/>
    <col min="13057" max="13057" width="4.83203125" style="846" customWidth="1"/>
    <col min="13058" max="13058" width="30.1640625" style="846" customWidth="1"/>
    <col min="13059" max="13060" width="9" style="846" customWidth="1"/>
    <col min="13061" max="13061" width="9.5" style="846" customWidth="1"/>
    <col min="13062" max="13062" width="8.83203125" style="846" customWidth="1"/>
    <col min="13063" max="13063" width="10.1640625" style="846" customWidth="1"/>
    <col min="13064" max="13064" width="8.83203125" style="846" customWidth="1"/>
    <col min="13065" max="13065" width="8.1640625" style="846" customWidth="1"/>
    <col min="13066" max="13070" width="9.5" style="846" customWidth="1"/>
    <col min="13071" max="13071" width="12.6640625" style="846" customWidth="1"/>
    <col min="13072" max="13073" width="9.33203125" style="846"/>
    <col min="13074" max="13074" width="11.83203125" style="846" bestFit="1" customWidth="1"/>
    <col min="13075" max="13312" width="9.33203125" style="846"/>
    <col min="13313" max="13313" width="4.83203125" style="846" customWidth="1"/>
    <col min="13314" max="13314" width="30.1640625" style="846" customWidth="1"/>
    <col min="13315" max="13316" width="9" style="846" customWidth="1"/>
    <col min="13317" max="13317" width="9.5" style="846" customWidth="1"/>
    <col min="13318" max="13318" width="8.83203125" style="846" customWidth="1"/>
    <col min="13319" max="13319" width="10.1640625" style="846" customWidth="1"/>
    <col min="13320" max="13320" width="8.83203125" style="846" customWidth="1"/>
    <col min="13321" max="13321" width="8.1640625" style="846" customWidth="1"/>
    <col min="13322" max="13326" width="9.5" style="846" customWidth="1"/>
    <col min="13327" max="13327" width="12.6640625" style="846" customWidth="1"/>
    <col min="13328" max="13329" width="9.33203125" style="846"/>
    <col min="13330" max="13330" width="11.83203125" style="846" bestFit="1" customWidth="1"/>
    <col min="13331" max="13568" width="9.33203125" style="846"/>
    <col min="13569" max="13569" width="4.83203125" style="846" customWidth="1"/>
    <col min="13570" max="13570" width="30.1640625" style="846" customWidth="1"/>
    <col min="13571" max="13572" width="9" style="846" customWidth="1"/>
    <col min="13573" max="13573" width="9.5" style="846" customWidth="1"/>
    <col min="13574" max="13574" width="8.83203125" style="846" customWidth="1"/>
    <col min="13575" max="13575" width="10.1640625" style="846" customWidth="1"/>
    <col min="13576" max="13576" width="8.83203125" style="846" customWidth="1"/>
    <col min="13577" max="13577" width="8.1640625" style="846" customWidth="1"/>
    <col min="13578" max="13582" width="9.5" style="846" customWidth="1"/>
    <col min="13583" max="13583" width="12.6640625" style="846" customWidth="1"/>
    <col min="13584" max="13585" width="9.33203125" style="846"/>
    <col min="13586" max="13586" width="11.83203125" style="846" bestFit="1" customWidth="1"/>
    <col min="13587" max="13824" width="9.33203125" style="846"/>
    <col min="13825" max="13825" width="4.83203125" style="846" customWidth="1"/>
    <col min="13826" max="13826" width="30.1640625" style="846" customWidth="1"/>
    <col min="13827" max="13828" width="9" style="846" customWidth="1"/>
    <col min="13829" max="13829" width="9.5" style="846" customWidth="1"/>
    <col min="13830" max="13830" width="8.83203125" style="846" customWidth="1"/>
    <col min="13831" max="13831" width="10.1640625" style="846" customWidth="1"/>
    <col min="13832" max="13832" width="8.83203125" style="846" customWidth="1"/>
    <col min="13833" max="13833" width="8.1640625" style="846" customWidth="1"/>
    <col min="13834" max="13838" width="9.5" style="846" customWidth="1"/>
    <col min="13839" max="13839" width="12.6640625" style="846" customWidth="1"/>
    <col min="13840" max="13841" width="9.33203125" style="846"/>
    <col min="13842" max="13842" width="11.83203125" style="846" bestFit="1" customWidth="1"/>
    <col min="13843" max="14080" width="9.33203125" style="846"/>
    <col min="14081" max="14081" width="4.83203125" style="846" customWidth="1"/>
    <col min="14082" max="14082" width="30.1640625" style="846" customWidth="1"/>
    <col min="14083" max="14084" width="9" style="846" customWidth="1"/>
    <col min="14085" max="14085" width="9.5" style="846" customWidth="1"/>
    <col min="14086" max="14086" width="8.83203125" style="846" customWidth="1"/>
    <col min="14087" max="14087" width="10.1640625" style="846" customWidth="1"/>
    <col min="14088" max="14088" width="8.83203125" style="846" customWidth="1"/>
    <col min="14089" max="14089" width="8.1640625" style="846" customWidth="1"/>
    <col min="14090" max="14094" width="9.5" style="846" customWidth="1"/>
    <col min="14095" max="14095" width="12.6640625" style="846" customWidth="1"/>
    <col min="14096" max="14097" width="9.33203125" style="846"/>
    <col min="14098" max="14098" width="11.83203125" style="846" bestFit="1" customWidth="1"/>
    <col min="14099" max="14336" width="9.33203125" style="846"/>
    <col min="14337" max="14337" width="4.83203125" style="846" customWidth="1"/>
    <col min="14338" max="14338" width="30.1640625" style="846" customWidth="1"/>
    <col min="14339" max="14340" width="9" style="846" customWidth="1"/>
    <col min="14341" max="14341" width="9.5" style="846" customWidth="1"/>
    <col min="14342" max="14342" width="8.83203125" style="846" customWidth="1"/>
    <col min="14343" max="14343" width="10.1640625" style="846" customWidth="1"/>
    <col min="14344" max="14344" width="8.83203125" style="846" customWidth="1"/>
    <col min="14345" max="14345" width="8.1640625" style="846" customWidth="1"/>
    <col min="14346" max="14350" width="9.5" style="846" customWidth="1"/>
    <col min="14351" max="14351" width="12.6640625" style="846" customWidth="1"/>
    <col min="14352" max="14353" width="9.33203125" style="846"/>
    <col min="14354" max="14354" width="11.83203125" style="846" bestFit="1" customWidth="1"/>
    <col min="14355" max="14592" width="9.33203125" style="846"/>
    <col min="14593" max="14593" width="4.83203125" style="846" customWidth="1"/>
    <col min="14594" max="14594" width="30.1640625" style="846" customWidth="1"/>
    <col min="14595" max="14596" width="9" style="846" customWidth="1"/>
    <col min="14597" max="14597" width="9.5" style="846" customWidth="1"/>
    <col min="14598" max="14598" width="8.83203125" style="846" customWidth="1"/>
    <col min="14599" max="14599" width="10.1640625" style="846" customWidth="1"/>
    <col min="14600" max="14600" width="8.83203125" style="846" customWidth="1"/>
    <col min="14601" max="14601" width="8.1640625" style="846" customWidth="1"/>
    <col min="14602" max="14606" width="9.5" style="846" customWidth="1"/>
    <col min="14607" max="14607" width="12.6640625" style="846" customWidth="1"/>
    <col min="14608" max="14609" width="9.33203125" style="846"/>
    <col min="14610" max="14610" width="11.83203125" style="846" bestFit="1" customWidth="1"/>
    <col min="14611" max="14848" width="9.33203125" style="846"/>
    <col min="14849" max="14849" width="4.83203125" style="846" customWidth="1"/>
    <col min="14850" max="14850" width="30.1640625" style="846" customWidth="1"/>
    <col min="14851" max="14852" width="9" style="846" customWidth="1"/>
    <col min="14853" max="14853" width="9.5" style="846" customWidth="1"/>
    <col min="14854" max="14854" width="8.83203125" style="846" customWidth="1"/>
    <col min="14855" max="14855" width="10.1640625" style="846" customWidth="1"/>
    <col min="14856" max="14856" width="8.83203125" style="846" customWidth="1"/>
    <col min="14857" max="14857" width="8.1640625" style="846" customWidth="1"/>
    <col min="14858" max="14862" width="9.5" style="846" customWidth="1"/>
    <col min="14863" max="14863" width="12.6640625" style="846" customWidth="1"/>
    <col min="14864" max="14865" width="9.33203125" style="846"/>
    <col min="14866" max="14866" width="11.83203125" style="846" bestFit="1" customWidth="1"/>
    <col min="14867" max="15104" width="9.33203125" style="846"/>
    <col min="15105" max="15105" width="4.83203125" style="846" customWidth="1"/>
    <col min="15106" max="15106" width="30.1640625" style="846" customWidth="1"/>
    <col min="15107" max="15108" width="9" style="846" customWidth="1"/>
    <col min="15109" max="15109" width="9.5" style="846" customWidth="1"/>
    <col min="15110" max="15110" width="8.83203125" style="846" customWidth="1"/>
    <col min="15111" max="15111" width="10.1640625" style="846" customWidth="1"/>
    <col min="15112" max="15112" width="8.83203125" style="846" customWidth="1"/>
    <col min="15113" max="15113" width="8.1640625" style="846" customWidth="1"/>
    <col min="15114" max="15118" width="9.5" style="846" customWidth="1"/>
    <col min="15119" max="15119" width="12.6640625" style="846" customWidth="1"/>
    <col min="15120" max="15121" width="9.33203125" style="846"/>
    <col min="15122" max="15122" width="11.83203125" style="846" bestFit="1" customWidth="1"/>
    <col min="15123" max="15360" width="9.33203125" style="846"/>
    <col min="15361" max="15361" width="4.83203125" style="846" customWidth="1"/>
    <col min="15362" max="15362" width="30.1640625" style="846" customWidth="1"/>
    <col min="15363" max="15364" width="9" style="846" customWidth="1"/>
    <col min="15365" max="15365" width="9.5" style="846" customWidth="1"/>
    <col min="15366" max="15366" width="8.83203125" style="846" customWidth="1"/>
    <col min="15367" max="15367" width="10.1640625" style="846" customWidth="1"/>
    <col min="15368" max="15368" width="8.83203125" style="846" customWidth="1"/>
    <col min="15369" max="15369" width="8.1640625" style="846" customWidth="1"/>
    <col min="15370" max="15374" width="9.5" style="846" customWidth="1"/>
    <col min="15375" max="15375" width="12.6640625" style="846" customWidth="1"/>
    <col min="15376" max="15377" width="9.33203125" style="846"/>
    <col min="15378" max="15378" width="11.83203125" style="846" bestFit="1" customWidth="1"/>
    <col min="15379" max="15616" width="9.33203125" style="846"/>
    <col min="15617" max="15617" width="4.83203125" style="846" customWidth="1"/>
    <col min="15618" max="15618" width="30.1640625" style="846" customWidth="1"/>
    <col min="15619" max="15620" width="9" style="846" customWidth="1"/>
    <col min="15621" max="15621" width="9.5" style="846" customWidth="1"/>
    <col min="15622" max="15622" width="8.83203125" style="846" customWidth="1"/>
    <col min="15623" max="15623" width="10.1640625" style="846" customWidth="1"/>
    <col min="15624" max="15624" width="8.83203125" style="846" customWidth="1"/>
    <col min="15625" max="15625" width="8.1640625" style="846" customWidth="1"/>
    <col min="15626" max="15630" width="9.5" style="846" customWidth="1"/>
    <col min="15631" max="15631" width="12.6640625" style="846" customWidth="1"/>
    <col min="15632" max="15633" width="9.33203125" style="846"/>
    <col min="15634" max="15634" width="11.83203125" style="846" bestFit="1" customWidth="1"/>
    <col min="15635" max="15872" width="9.33203125" style="846"/>
    <col min="15873" max="15873" width="4.83203125" style="846" customWidth="1"/>
    <col min="15874" max="15874" width="30.1640625" style="846" customWidth="1"/>
    <col min="15875" max="15876" width="9" style="846" customWidth="1"/>
    <col min="15877" max="15877" width="9.5" style="846" customWidth="1"/>
    <col min="15878" max="15878" width="8.83203125" style="846" customWidth="1"/>
    <col min="15879" max="15879" width="10.1640625" style="846" customWidth="1"/>
    <col min="15880" max="15880" width="8.83203125" style="846" customWidth="1"/>
    <col min="15881" max="15881" width="8.1640625" style="846" customWidth="1"/>
    <col min="15882" max="15886" width="9.5" style="846" customWidth="1"/>
    <col min="15887" max="15887" width="12.6640625" style="846" customWidth="1"/>
    <col min="15888" max="15889" width="9.33203125" style="846"/>
    <col min="15890" max="15890" width="11.83203125" style="846" bestFit="1" customWidth="1"/>
    <col min="15891" max="16128" width="9.33203125" style="846"/>
    <col min="16129" max="16129" width="4.83203125" style="846" customWidth="1"/>
    <col min="16130" max="16130" width="30.1640625" style="846" customWidth="1"/>
    <col min="16131" max="16132" width="9" style="846" customWidth="1"/>
    <col min="16133" max="16133" width="9.5" style="846" customWidth="1"/>
    <col min="16134" max="16134" width="8.83203125" style="846" customWidth="1"/>
    <col min="16135" max="16135" width="10.1640625" style="846" customWidth="1"/>
    <col min="16136" max="16136" width="8.83203125" style="846" customWidth="1"/>
    <col min="16137" max="16137" width="8.1640625" style="846" customWidth="1"/>
    <col min="16138" max="16142" width="9.5" style="846" customWidth="1"/>
    <col min="16143" max="16143" width="12.6640625" style="846" customWidth="1"/>
    <col min="16144" max="16145" width="9.33203125" style="846"/>
    <col min="16146" max="16146" width="11.83203125" style="846" bestFit="1" customWidth="1"/>
    <col min="16147" max="16384" width="9.33203125" style="846"/>
  </cols>
  <sheetData>
    <row r="1" spans="1:15" ht="16.5" thickBot="1" x14ac:dyDescent="0.3">
      <c r="O1" s="847" t="s">
        <v>196</v>
      </c>
    </row>
    <row r="2" spans="1:15" s="845" customFormat="1" ht="26.1" customHeight="1" thickBot="1" x14ac:dyDescent="0.3">
      <c r="A2" s="848" t="s">
        <v>1233</v>
      </c>
      <c r="B2" s="849" t="s">
        <v>200</v>
      </c>
      <c r="C2" s="849" t="s">
        <v>1323</v>
      </c>
      <c r="D2" s="849" t="s">
        <v>1324</v>
      </c>
      <c r="E2" s="849" t="s">
        <v>1325</v>
      </c>
      <c r="F2" s="849" t="s">
        <v>1326</v>
      </c>
      <c r="G2" s="849" t="s">
        <v>1327</v>
      </c>
      <c r="H2" s="849" t="s">
        <v>1328</v>
      </c>
      <c r="I2" s="849" t="s">
        <v>1329</v>
      </c>
      <c r="J2" s="849" t="s">
        <v>1330</v>
      </c>
      <c r="K2" s="849" t="s">
        <v>1331</v>
      </c>
      <c r="L2" s="849" t="s">
        <v>1332</v>
      </c>
      <c r="M2" s="849" t="s">
        <v>1333</v>
      </c>
      <c r="N2" s="849" t="s">
        <v>1334</v>
      </c>
      <c r="O2" s="850" t="s">
        <v>1299</v>
      </c>
    </row>
    <row r="3" spans="1:15" s="852" customFormat="1" ht="15" customHeight="1" thickBot="1" x14ac:dyDescent="0.25">
      <c r="A3" s="851" t="s">
        <v>5</v>
      </c>
      <c r="B3" s="1683" t="s">
        <v>198</v>
      </c>
      <c r="C3" s="1683"/>
      <c r="D3" s="1683"/>
      <c r="E3" s="1683"/>
      <c r="F3" s="1683"/>
      <c r="G3" s="1683"/>
      <c r="H3" s="1683"/>
      <c r="I3" s="1683"/>
      <c r="J3" s="1683"/>
      <c r="K3" s="1683"/>
      <c r="L3" s="1683"/>
      <c r="M3" s="1683"/>
      <c r="N3" s="1683"/>
      <c r="O3" s="1683"/>
    </row>
    <row r="4" spans="1:15" s="852" customFormat="1" ht="15" customHeight="1" x14ac:dyDescent="0.2">
      <c r="A4" s="853" t="s">
        <v>6</v>
      </c>
      <c r="B4" s="854" t="s">
        <v>202</v>
      </c>
      <c r="C4" s="855">
        <v>102892</v>
      </c>
      <c r="D4" s="855">
        <v>72894</v>
      </c>
      <c r="E4" s="855">
        <v>260717</v>
      </c>
      <c r="F4" s="855">
        <v>145504</v>
      </c>
      <c r="G4" s="855">
        <v>145501</v>
      </c>
      <c r="H4" s="855">
        <v>145502</v>
      </c>
      <c r="I4" s="855">
        <v>55334</v>
      </c>
      <c r="J4" s="855">
        <v>55331</v>
      </c>
      <c r="K4" s="855">
        <v>265328</v>
      </c>
      <c r="L4" s="855">
        <v>185330</v>
      </c>
      <c r="M4" s="855">
        <v>125337</v>
      </c>
      <c r="N4" s="855">
        <v>65330</v>
      </c>
      <c r="O4" s="856">
        <f t="shared" ref="O4:O28" si="0">SUM(C4:N4)</f>
        <v>1625000</v>
      </c>
    </row>
    <row r="5" spans="1:15" s="857" customFormat="1" ht="14.1" customHeight="1" x14ac:dyDescent="0.2">
      <c r="A5" s="1366" t="s">
        <v>20</v>
      </c>
      <c r="B5" s="1367" t="s">
        <v>1335</v>
      </c>
      <c r="C5" s="1368">
        <v>26318</v>
      </c>
      <c r="D5" s="1368">
        <v>26318</v>
      </c>
      <c r="E5" s="1368">
        <v>26319</v>
      </c>
      <c r="F5" s="1368">
        <v>26319</v>
      </c>
      <c r="G5" s="1368">
        <v>26319</v>
      </c>
      <c r="H5" s="1368">
        <v>26319</v>
      </c>
      <c r="I5" s="1368">
        <v>26319</v>
      </c>
      <c r="J5" s="1368">
        <v>26319</v>
      </c>
      <c r="K5" s="1368">
        <v>26318</v>
      </c>
      <c r="L5" s="1368">
        <v>26318</v>
      </c>
      <c r="M5" s="1368">
        <v>26318</v>
      </c>
      <c r="N5" s="1368">
        <v>26318</v>
      </c>
      <c r="O5" s="1369">
        <f t="shared" si="0"/>
        <v>315822</v>
      </c>
    </row>
    <row r="6" spans="1:15" s="857" customFormat="1" ht="20.25" customHeight="1" x14ac:dyDescent="0.2">
      <c r="A6" s="1366" t="s">
        <v>150</v>
      </c>
      <c r="B6" s="1370" t="s">
        <v>1336</v>
      </c>
      <c r="C6" s="1371">
        <v>43889</v>
      </c>
      <c r="D6" s="1371">
        <v>43889</v>
      </c>
      <c r="E6" s="1371">
        <v>43889</v>
      </c>
      <c r="F6" s="1371">
        <v>43889</v>
      </c>
      <c r="G6" s="1371">
        <v>43889</v>
      </c>
      <c r="H6" s="1371">
        <v>43889</v>
      </c>
      <c r="I6" s="1371">
        <v>43889</v>
      </c>
      <c r="J6" s="1371">
        <v>43889</v>
      </c>
      <c r="K6" s="1371">
        <v>43890</v>
      </c>
      <c r="L6" s="1371">
        <v>43890</v>
      </c>
      <c r="M6" s="1371">
        <v>43889</v>
      </c>
      <c r="N6" s="1371">
        <v>43889</v>
      </c>
      <c r="O6" s="1372">
        <f t="shared" si="0"/>
        <v>526670</v>
      </c>
    </row>
    <row r="7" spans="1:15" s="857" customFormat="1" ht="14.1" customHeight="1" x14ac:dyDescent="0.2">
      <c r="A7" s="1366" t="s">
        <v>39</v>
      </c>
      <c r="B7" s="1367" t="s">
        <v>2014</v>
      </c>
      <c r="C7" s="1368">
        <v>50391</v>
      </c>
      <c r="D7" s="1368">
        <v>50391</v>
      </c>
      <c r="E7" s="1368">
        <v>50391</v>
      </c>
      <c r="F7" s="1368">
        <v>50391</v>
      </c>
      <c r="G7" s="1368">
        <v>50392</v>
      </c>
      <c r="H7" s="1368">
        <v>50392</v>
      </c>
      <c r="I7" s="1368">
        <v>50392</v>
      </c>
      <c r="J7" s="1368">
        <v>50392</v>
      </c>
      <c r="K7" s="1368">
        <v>50392</v>
      </c>
      <c r="L7" s="1368">
        <v>50392</v>
      </c>
      <c r="M7" s="1368">
        <v>50392</v>
      </c>
      <c r="N7" s="1368">
        <v>50391</v>
      </c>
      <c r="O7" s="1369">
        <f t="shared" si="0"/>
        <v>604699</v>
      </c>
    </row>
    <row r="8" spans="1:15" s="857" customFormat="1" ht="14.1" customHeight="1" x14ac:dyDescent="0.2">
      <c r="A8" s="1366" t="s">
        <v>49</v>
      </c>
      <c r="B8" s="1367" t="s">
        <v>1337</v>
      </c>
      <c r="C8" s="1368">
        <v>16666</v>
      </c>
      <c r="D8" s="1368">
        <v>16666</v>
      </c>
      <c r="E8" s="1368">
        <v>16666</v>
      </c>
      <c r="F8" s="1368">
        <v>16666</v>
      </c>
      <c r="G8" s="1368">
        <v>16667</v>
      </c>
      <c r="H8" s="1368">
        <v>16667</v>
      </c>
      <c r="I8" s="1368">
        <v>16667</v>
      </c>
      <c r="J8" s="1368">
        <v>16667</v>
      </c>
      <c r="K8" s="1368">
        <v>16667</v>
      </c>
      <c r="L8" s="1368">
        <v>16667</v>
      </c>
      <c r="M8" s="1368">
        <v>16667</v>
      </c>
      <c r="N8" s="1368">
        <v>16667</v>
      </c>
      <c r="O8" s="1369">
        <f t="shared" si="0"/>
        <v>200000</v>
      </c>
    </row>
    <row r="9" spans="1:15" s="857" customFormat="1" ht="14.1" customHeight="1" x14ac:dyDescent="0.2">
      <c r="A9" s="1366" t="s">
        <v>179</v>
      </c>
      <c r="B9" s="1367" t="s">
        <v>1338</v>
      </c>
      <c r="C9" s="1368">
        <v>41</v>
      </c>
      <c r="D9" s="1368">
        <v>41</v>
      </c>
      <c r="E9" s="1368">
        <v>41</v>
      </c>
      <c r="F9" s="1368">
        <v>42</v>
      </c>
      <c r="G9" s="1368">
        <v>42</v>
      </c>
      <c r="H9" s="1368">
        <v>42</v>
      </c>
      <c r="I9" s="1368">
        <v>42</v>
      </c>
      <c r="J9" s="1368">
        <v>42</v>
      </c>
      <c r="K9" s="1368">
        <v>42</v>
      </c>
      <c r="L9" s="1368">
        <v>42</v>
      </c>
      <c r="M9" s="1368">
        <v>42</v>
      </c>
      <c r="N9" s="1368">
        <v>41</v>
      </c>
      <c r="O9" s="1369">
        <f t="shared" si="0"/>
        <v>500</v>
      </c>
    </row>
    <row r="10" spans="1:15" s="857" customFormat="1" ht="14.1" customHeight="1" x14ac:dyDescent="0.2">
      <c r="A10" s="1366" t="s">
        <v>75</v>
      </c>
      <c r="B10" s="1367" t="s">
        <v>1339</v>
      </c>
      <c r="C10" s="1368">
        <v>41</v>
      </c>
      <c r="D10" s="1368">
        <v>42</v>
      </c>
      <c r="E10" s="1368">
        <v>42</v>
      </c>
      <c r="F10" s="1368">
        <v>42</v>
      </c>
      <c r="G10" s="1368">
        <v>42</v>
      </c>
      <c r="H10" s="1368">
        <v>42</v>
      </c>
      <c r="I10" s="1368">
        <v>42</v>
      </c>
      <c r="J10" s="1368">
        <v>42</v>
      </c>
      <c r="K10" s="1368">
        <v>42</v>
      </c>
      <c r="L10" s="1368">
        <v>41</v>
      </c>
      <c r="M10" s="1368">
        <v>41</v>
      </c>
      <c r="N10" s="1368">
        <v>41</v>
      </c>
      <c r="O10" s="1369">
        <f t="shared" si="0"/>
        <v>500</v>
      </c>
    </row>
    <row r="11" spans="1:15" s="857" customFormat="1" ht="23.25" customHeight="1" x14ac:dyDescent="0.2">
      <c r="A11" s="1366" t="s">
        <v>207</v>
      </c>
      <c r="B11" s="1373" t="s">
        <v>1340</v>
      </c>
      <c r="C11" s="1368"/>
      <c r="D11" s="1368"/>
      <c r="E11" s="1368"/>
      <c r="F11" s="1368"/>
      <c r="G11" s="1368"/>
      <c r="H11" s="1368"/>
      <c r="I11" s="1368"/>
      <c r="J11" s="1368"/>
      <c r="K11" s="1368"/>
      <c r="L11" s="1368"/>
      <c r="M11" s="1368"/>
      <c r="N11" s="1368"/>
      <c r="O11" s="1369">
        <f t="shared" si="0"/>
        <v>0</v>
      </c>
    </row>
    <row r="12" spans="1:15" s="857" customFormat="1" ht="20.25" customHeight="1" x14ac:dyDescent="0.2">
      <c r="A12" s="1366" t="s">
        <v>80</v>
      </c>
      <c r="B12" s="1373" t="s">
        <v>1429</v>
      </c>
      <c r="C12" s="1374"/>
      <c r="D12" s="1368"/>
      <c r="E12" s="1368"/>
      <c r="F12" s="1368"/>
      <c r="G12" s="1368"/>
      <c r="H12" s="1368"/>
      <c r="I12" s="1368"/>
      <c r="J12" s="1368"/>
      <c r="K12" s="1368"/>
      <c r="L12" s="1368"/>
      <c r="M12" s="1368"/>
      <c r="N12" s="1368"/>
      <c r="O12" s="1368">
        <f>SUM(C12:N12)</f>
        <v>0</v>
      </c>
    </row>
    <row r="13" spans="1:15" s="857" customFormat="1" ht="14.1" customHeight="1" thickBot="1" x14ac:dyDescent="0.25">
      <c r="A13" s="1366" t="s">
        <v>81</v>
      </c>
      <c r="B13" s="1367" t="s">
        <v>1341</v>
      </c>
      <c r="C13" s="1368"/>
      <c r="D13" s="1368"/>
      <c r="E13" s="1368"/>
      <c r="F13" s="1368"/>
      <c r="G13" s="1368"/>
      <c r="H13" s="1368"/>
      <c r="I13" s="1368"/>
      <c r="J13" s="1368"/>
      <c r="K13" s="1374"/>
      <c r="L13" s="1368"/>
      <c r="M13" s="1368"/>
      <c r="N13" s="1368"/>
      <c r="O13" s="1369">
        <f t="shared" si="0"/>
        <v>0</v>
      </c>
    </row>
    <row r="14" spans="1:15" s="852" customFormat="1" ht="15.95" customHeight="1" thickBot="1" x14ac:dyDescent="0.25">
      <c r="A14" s="851" t="s">
        <v>86</v>
      </c>
      <c r="B14" s="858" t="s">
        <v>910</v>
      </c>
      <c r="C14" s="859">
        <f>SUM(C4:C13)</f>
        <v>240238</v>
      </c>
      <c r="D14" s="859">
        <f t="shared" ref="D14:N14" si="1">SUM(D4:D13)</f>
        <v>210241</v>
      </c>
      <c r="E14" s="859">
        <f t="shared" si="1"/>
        <v>398065</v>
      </c>
      <c r="F14" s="859">
        <f t="shared" si="1"/>
        <v>282853</v>
      </c>
      <c r="G14" s="859">
        <f t="shared" si="1"/>
        <v>282852</v>
      </c>
      <c r="H14" s="859">
        <f t="shared" si="1"/>
        <v>282853</v>
      </c>
      <c r="I14" s="859">
        <f t="shared" si="1"/>
        <v>192685</v>
      </c>
      <c r="J14" s="859">
        <f t="shared" si="1"/>
        <v>192682</v>
      </c>
      <c r="K14" s="859">
        <f t="shared" si="1"/>
        <v>402679</v>
      </c>
      <c r="L14" s="859">
        <f t="shared" si="1"/>
        <v>322680</v>
      </c>
      <c r="M14" s="859">
        <f t="shared" si="1"/>
        <v>262686</v>
      </c>
      <c r="N14" s="859">
        <f t="shared" si="1"/>
        <v>202677</v>
      </c>
      <c r="O14" s="860">
        <f>SUM(C14:N14)</f>
        <v>3273191</v>
      </c>
    </row>
    <row r="15" spans="1:15" s="852" customFormat="1" ht="15" customHeight="1" thickBot="1" x14ac:dyDescent="0.25">
      <c r="A15" s="851" t="s">
        <v>99</v>
      </c>
      <c r="B15" s="1683" t="s">
        <v>199</v>
      </c>
      <c r="C15" s="1683"/>
      <c r="D15" s="1683"/>
      <c r="E15" s="1683"/>
      <c r="F15" s="1683"/>
      <c r="G15" s="1683"/>
      <c r="H15" s="1683"/>
      <c r="I15" s="1683"/>
      <c r="J15" s="1683"/>
      <c r="K15" s="1683"/>
      <c r="L15" s="1683"/>
      <c r="M15" s="1683"/>
      <c r="N15" s="1683"/>
      <c r="O15" s="1683"/>
    </row>
    <row r="16" spans="1:15" s="857" customFormat="1" ht="14.1" customHeight="1" thickBot="1" x14ac:dyDescent="0.25">
      <c r="A16" s="851" t="s">
        <v>100</v>
      </c>
      <c r="B16" s="1375" t="s">
        <v>201</v>
      </c>
      <c r="C16" s="1371">
        <v>75389</v>
      </c>
      <c r="D16" s="1371">
        <v>75389</v>
      </c>
      <c r="E16" s="1371">
        <v>75389</v>
      </c>
      <c r="F16" s="1371">
        <v>75389</v>
      </c>
      <c r="G16" s="1371">
        <v>75389</v>
      </c>
      <c r="H16" s="1371">
        <v>75389</v>
      </c>
      <c r="I16" s="1371">
        <v>75390</v>
      </c>
      <c r="J16" s="1371">
        <v>75389</v>
      </c>
      <c r="K16" s="1371">
        <v>75389</v>
      </c>
      <c r="L16" s="1371">
        <v>75390</v>
      </c>
      <c r="M16" s="1371">
        <v>75389</v>
      </c>
      <c r="N16" s="1371">
        <v>75389</v>
      </c>
      <c r="O16" s="1372">
        <f t="shared" si="0"/>
        <v>904670</v>
      </c>
    </row>
    <row r="17" spans="1:18" s="857" customFormat="1" ht="24" customHeight="1" thickBot="1" x14ac:dyDescent="0.25">
      <c r="A17" s="851" t="s">
        <v>212</v>
      </c>
      <c r="B17" s="1373" t="s">
        <v>106</v>
      </c>
      <c r="C17" s="1368">
        <v>20888</v>
      </c>
      <c r="D17" s="1368">
        <v>20888</v>
      </c>
      <c r="E17" s="1368">
        <v>20888</v>
      </c>
      <c r="F17" s="1368">
        <v>20888</v>
      </c>
      <c r="G17" s="1368">
        <v>20888</v>
      </c>
      <c r="H17" s="1368">
        <v>20888</v>
      </c>
      <c r="I17" s="1368">
        <v>20889</v>
      </c>
      <c r="J17" s="1368">
        <v>20888</v>
      </c>
      <c r="K17" s="1368">
        <v>20888</v>
      </c>
      <c r="L17" s="1368">
        <v>20888</v>
      </c>
      <c r="M17" s="1368">
        <v>20888</v>
      </c>
      <c r="N17" s="1368">
        <v>20888</v>
      </c>
      <c r="O17" s="1369">
        <f t="shared" si="0"/>
        <v>250657</v>
      </c>
    </row>
    <row r="18" spans="1:18" s="857" customFormat="1" ht="14.1" customHeight="1" thickBot="1" x14ac:dyDescent="0.25">
      <c r="A18" s="851" t="s">
        <v>214</v>
      </c>
      <c r="B18" s="1367" t="s">
        <v>203</v>
      </c>
      <c r="C18" s="1368">
        <v>113724</v>
      </c>
      <c r="D18" s="1368">
        <v>113724</v>
      </c>
      <c r="E18" s="1368">
        <v>113724</v>
      </c>
      <c r="F18" s="1368">
        <v>113725</v>
      </c>
      <c r="G18" s="1368">
        <v>113725</v>
      </c>
      <c r="H18" s="1368">
        <v>113725</v>
      </c>
      <c r="I18" s="1368">
        <v>113725</v>
      </c>
      <c r="J18" s="1368">
        <v>113725</v>
      </c>
      <c r="K18" s="1368">
        <v>113725</v>
      </c>
      <c r="L18" s="1368">
        <v>113725</v>
      </c>
      <c r="M18" s="1368">
        <v>113724</v>
      </c>
      <c r="N18" s="1368">
        <v>113724</v>
      </c>
      <c r="O18" s="1369">
        <f t="shared" si="0"/>
        <v>1364695</v>
      </c>
    </row>
    <row r="19" spans="1:18" s="857" customFormat="1" ht="14.1" customHeight="1" thickBot="1" x14ac:dyDescent="0.25">
      <c r="A19" s="851" t="s">
        <v>216</v>
      </c>
      <c r="B19" s="1367" t="s">
        <v>1342</v>
      </c>
      <c r="C19" s="1368">
        <v>3333</v>
      </c>
      <c r="D19" s="1368">
        <v>3333</v>
      </c>
      <c r="E19" s="1368">
        <v>3334</v>
      </c>
      <c r="F19" s="1368">
        <v>3333</v>
      </c>
      <c r="G19" s="1368">
        <v>3333</v>
      </c>
      <c r="H19" s="1368">
        <v>3333</v>
      </c>
      <c r="I19" s="1368">
        <v>3334</v>
      </c>
      <c r="J19" s="1368">
        <v>3333</v>
      </c>
      <c r="K19" s="1368">
        <v>3333</v>
      </c>
      <c r="L19" s="1368">
        <v>3334</v>
      </c>
      <c r="M19" s="1368">
        <v>3334</v>
      </c>
      <c r="N19" s="1368">
        <v>3333</v>
      </c>
      <c r="O19" s="1369">
        <f t="shared" si="0"/>
        <v>40000</v>
      </c>
    </row>
    <row r="20" spans="1:18" s="857" customFormat="1" ht="14.1" customHeight="1" thickBot="1" x14ac:dyDescent="0.25">
      <c r="A20" s="851" t="s">
        <v>217</v>
      </c>
      <c r="B20" s="1367" t="s">
        <v>1343</v>
      </c>
      <c r="C20" s="1368"/>
      <c r="D20" s="1368"/>
      <c r="E20" s="1368"/>
      <c r="F20" s="1368"/>
      <c r="G20" s="1368"/>
      <c r="H20" s="1368"/>
      <c r="I20" s="1368"/>
      <c r="J20" s="1368"/>
      <c r="K20" s="1368"/>
      <c r="L20" s="1368"/>
      <c r="M20" s="1368"/>
      <c r="N20" s="1368"/>
      <c r="O20" s="1369">
        <f t="shared" si="0"/>
        <v>0</v>
      </c>
    </row>
    <row r="21" spans="1:18" s="857" customFormat="1" ht="14.1" customHeight="1" thickBot="1" x14ac:dyDescent="0.25">
      <c r="A21" s="851" t="s">
        <v>219</v>
      </c>
      <c r="B21" s="1367" t="s">
        <v>2015</v>
      </c>
      <c r="C21" s="1368">
        <v>8470</v>
      </c>
      <c r="D21" s="1368">
        <v>8470</v>
      </c>
      <c r="E21" s="1368">
        <v>8470</v>
      </c>
      <c r="F21" s="1368">
        <v>8470</v>
      </c>
      <c r="G21" s="1368">
        <v>8471</v>
      </c>
      <c r="H21" s="1368">
        <v>8471</v>
      </c>
      <c r="I21" s="1368">
        <v>8471</v>
      </c>
      <c r="J21" s="1368">
        <v>8471</v>
      </c>
      <c r="K21" s="1368">
        <v>8471</v>
      </c>
      <c r="L21" s="1368">
        <v>8471</v>
      </c>
      <c r="M21" s="1368">
        <v>8470</v>
      </c>
      <c r="N21" s="1368">
        <v>8470</v>
      </c>
      <c r="O21" s="1369">
        <f t="shared" si="0"/>
        <v>101646</v>
      </c>
    </row>
    <row r="22" spans="1:18" s="857" customFormat="1" ht="21" customHeight="1" thickBot="1" x14ac:dyDescent="0.25">
      <c r="A22" s="851" t="s">
        <v>221</v>
      </c>
      <c r="B22" s="1373" t="s">
        <v>1430</v>
      </c>
      <c r="C22" s="1368">
        <v>832</v>
      </c>
      <c r="D22" s="1368">
        <v>832</v>
      </c>
      <c r="E22" s="1368">
        <v>832</v>
      </c>
      <c r="F22" s="1368">
        <v>832</v>
      </c>
      <c r="G22" s="1368">
        <v>833</v>
      </c>
      <c r="H22" s="1368">
        <v>832</v>
      </c>
      <c r="I22" s="1368">
        <v>832</v>
      </c>
      <c r="J22" s="1368">
        <v>833</v>
      </c>
      <c r="K22" s="1368">
        <v>832</v>
      </c>
      <c r="L22" s="1368">
        <v>832</v>
      </c>
      <c r="M22" s="1368">
        <v>832</v>
      </c>
      <c r="N22" s="1368">
        <v>832</v>
      </c>
      <c r="O22" s="1369">
        <f t="shared" si="0"/>
        <v>9986</v>
      </c>
    </row>
    <row r="23" spans="1:18" s="857" customFormat="1" ht="21" hidden="1" customHeight="1" thickBot="1" x14ac:dyDescent="0.25">
      <c r="A23" s="851"/>
      <c r="B23" s="1373"/>
      <c r="C23" s="1368"/>
      <c r="D23" s="1368"/>
      <c r="E23" s="1368"/>
      <c r="F23" s="1368"/>
      <c r="G23" s="1368"/>
      <c r="H23" s="1368"/>
      <c r="I23" s="1368"/>
      <c r="J23" s="1368"/>
      <c r="K23" s="1368"/>
      <c r="L23" s="1368"/>
      <c r="M23" s="1368"/>
      <c r="N23" s="1368"/>
      <c r="O23" s="1369"/>
    </row>
    <row r="24" spans="1:18" s="857" customFormat="1" ht="21" customHeight="1" thickBot="1" x14ac:dyDescent="0.25">
      <c r="A24" s="851" t="s">
        <v>223</v>
      </c>
      <c r="B24" s="1373" t="s">
        <v>1344</v>
      </c>
      <c r="C24" s="1368"/>
      <c r="D24" s="1368"/>
      <c r="E24" s="1368"/>
      <c r="F24" s="1368"/>
      <c r="G24" s="1368"/>
      <c r="H24" s="1368"/>
      <c r="I24" s="1368"/>
      <c r="J24" s="1368"/>
      <c r="K24" s="1368"/>
      <c r="L24" s="1368"/>
      <c r="M24" s="1368"/>
      <c r="N24" s="1368"/>
      <c r="O24" s="1369">
        <f t="shared" si="0"/>
        <v>0</v>
      </c>
    </row>
    <row r="25" spans="1:18" s="857" customFormat="1" ht="14.1" customHeight="1" thickBot="1" x14ac:dyDescent="0.25">
      <c r="A25" s="851" t="s">
        <v>224</v>
      </c>
      <c r="B25" s="1367" t="s">
        <v>204</v>
      </c>
      <c r="C25" s="1368">
        <v>21551</v>
      </c>
      <c r="D25" s="1368">
        <v>21551</v>
      </c>
      <c r="E25" s="1368">
        <v>21551</v>
      </c>
      <c r="F25" s="1368">
        <v>21551</v>
      </c>
      <c r="G25" s="1368">
        <v>21551</v>
      </c>
      <c r="H25" s="1368">
        <v>21550</v>
      </c>
      <c r="I25" s="1368">
        <v>21550</v>
      </c>
      <c r="J25" s="1368">
        <v>21550</v>
      </c>
      <c r="K25" s="1368">
        <v>21550</v>
      </c>
      <c r="L25" s="1368">
        <v>21550</v>
      </c>
      <c r="M25" s="1368">
        <v>21550</v>
      </c>
      <c r="N25" s="1368">
        <v>21550</v>
      </c>
      <c r="O25" s="1369">
        <f t="shared" si="0"/>
        <v>258605</v>
      </c>
    </row>
    <row r="26" spans="1:18" s="857" customFormat="1" ht="14.1" customHeight="1" thickBot="1" x14ac:dyDescent="0.25">
      <c r="A26" s="851" t="s">
        <v>226</v>
      </c>
      <c r="B26" s="1367" t="s">
        <v>1345</v>
      </c>
      <c r="C26" s="1368">
        <v>2666</v>
      </c>
      <c r="D26" s="1368">
        <v>2667</v>
      </c>
      <c r="E26" s="1368">
        <v>2667</v>
      </c>
      <c r="F26" s="1368">
        <v>2667</v>
      </c>
      <c r="G26" s="1368">
        <v>2667</v>
      </c>
      <c r="H26" s="1368">
        <v>2667</v>
      </c>
      <c r="I26" s="1368">
        <v>2667</v>
      </c>
      <c r="J26" s="1368">
        <v>2667</v>
      </c>
      <c r="K26" s="1368">
        <v>2667</v>
      </c>
      <c r="L26" s="1368">
        <v>2666</v>
      </c>
      <c r="M26" s="1368">
        <v>2666</v>
      </c>
      <c r="N26" s="1368">
        <v>2666</v>
      </c>
      <c r="O26" s="1369">
        <f t="shared" si="0"/>
        <v>32000</v>
      </c>
    </row>
    <row r="27" spans="1:18" s="857" customFormat="1" ht="13.5" customHeight="1" thickBot="1" x14ac:dyDescent="0.25">
      <c r="A27" s="851" t="s">
        <v>227</v>
      </c>
      <c r="B27" s="1367" t="s">
        <v>1346</v>
      </c>
      <c r="C27" s="1368">
        <v>20577</v>
      </c>
      <c r="D27" s="1368">
        <v>20577</v>
      </c>
      <c r="E27" s="1368">
        <v>20577</v>
      </c>
      <c r="F27" s="1368">
        <v>20578</v>
      </c>
      <c r="G27" s="1368">
        <v>20578</v>
      </c>
      <c r="H27" s="1368">
        <v>20578</v>
      </c>
      <c r="I27" s="1368">
        <v>20578</v>
      </c>
      <c r="J27" s="1368">
        <v>20578</v>
      </c>
      <c r="K27" s="1368">
        <v>20578</v>
      </c>
      <c r="L27" s="1368">
        <v>20578</v>
      </c>
      <c r="M27" s="1368">
        <v>20578</v>
      </c>
      <c r="N27" s="1368">
        <v>20577</v>
      </c>
      <c r="O27" s="1369">
        <f t="shared" si="0"/>
        <v>246932</v>
      </c>
    </row>
    <row r="28" spans="1:18" s="857" customFormat="1" ht="14.1" customHeight="1" thickBot="1" x14ac:dyDescent="0.25">
      <c r="A28" s="851" t="s">
        <v>230</v>
      </c>
      <c r="B28" s="1367" t="s">
        <v>1347</v>
      </c>
      <c r="C28" s="1368">
        <v>5333</v>
      </c>
      <c r="D28" s="1368">
        <v>5333</v>
      </c>
      <c r="E28" s="1368">
        <v>5333</v>
      </c>
      <c r="F28" s="1368">
        <v>5334</v>
      </c>
      <c r="G28" s="1368">
        <v>5334</v>
      </c>
      <c r="H28" s="1368">
        <v>5333</v>
      </c>
      <c r="I28" s="1368">
        <v>5333</v>
      </c>
      <c r="J28" s="1368">
        <v>5334</v>
      </c>
      <c r="K28" s="1368">
        <v>5334</v>
      </c>
      <c r="L28" s="1368">
        <v>5333</v>
      </c>
      <c r="M28" s="1368">
        <v>5333</v>
      </c>
      <c r="N28" s="1368">
        <v>5333</v>
      </c>
      <c r="O28" s="1369">
        <f t="shared" si="0"/>
        <v>64000</v>
      </c>
    </row>
    <row r="29" spans="1:18" s="857" customFormat="1" ht="14.1" customHeight="1" thickBot="1" x14ac:dyDescent="0.25">
      <c r="A29" s="851" t="s">
        <v>233</v>
      </c>
      <c r="B29" s="854" t="s">
        <v>1431</v>
      </c>
      <c r="C29" s="855"/>
      <c r="D29" s="855"/>
      <c r="E29" s="855"/>
      <c r="F29" s="855"/>
      <c r="G29" s="855"/>
      <c r="H29" s="855"/>
      <c r="I29" s="855"/>
      <c r="J29" s="855"/>
      <c r="K29" s="855"/>
      <c r="L29" s="855"/>
      <c r="M29" s="855"/>
      <c r="N29" s="855"/>
      <c r="O29" s="1369">
        <f>SUM(C29:N29)</f>
        <v>0</v>
      </c>
    </row>
    <row r="30" spans="1:18" s="852" customFormat="1" ht="15.95" customHeight="1" thickBot="1" x14ac:dyDescent="0.25">
      <c r="A30" s="851" t="s">
        <v>1322</v>
      </c>
      <c r="B30" s="858" t="s">
        <v>921</v>
      </c>
      <c r="C30" s="859">
        <f>SUM(C16:C29)</f>
        <v>272763</v>
      </c>
      <c r="D30" s="859">
        <f>SUM(D16:D29)</f>
        <v>272764</v>
      </c>
      <c r="E30" s="859">
        <f>SUM(E16:E29)</f>
        <v>272765</v>
      </c>
      <c r="F30" s="859">
        <f>SUM(F16:F29)</f>
        <v>272767</v>
      </c>
      <c r="G30" s="859">
        <f>SUM(G16:G29)</f>
        <v>272769</v>
      </c>
      <c r="H30" s="859">
        <f t="shared" ref="H30:N30" si="2">SUM(H16:H29)</f>
        <v>272766</v>
      </c>
      <c r="I30" s="859">
        <f t="shared" si="2"/>
        <v>272769</v>
      </c>
      <c r="J30" s="859">
        <f t="shared" si="2"/>
        <v>272768</v>
      </c>
      <c r="K30" s="859">
        <f t="shared" si="2"/>
        <v>272767</v>
      </c>
      <c r="L30" s="859">
        <f t="shared" si="2"/>
        <v>272767</v>
      </c>
      <c r="M30" s="859">
        <f t="shared" si="2"/>
        <v>272764</v>
      </c>
      <c r="N30" s="859">
        <f t="shared" si="2"/>
        <v>272762</v>
      </c>
      <c r="O30" s="860">
        <f>SUM(C30:N30)</f>
        <v>3273191</v>
      </c>
    </row>
    <row r="31" spans="1:18" ht="16.5" thickBot="1" x14ac:dyDescent="0.3">
      <c r="A31" s="851" t="s">
        <v>1380</v>
      </c>
      <c r="B31" s="861" t="s">
        <v>1348</v>
      </c>
      <c r="C31" s="862">
        <f t="shared" ref="C31:O31" si="3">C14-C30</f>
        <v>-32525</v>
      </c>
      <c r="D31" s="862">
        <f t="shared" si="3"/>
        <v>-62523</v>
      </c>
      <c r="E31" s="862">
        <f t="shared" si="3"/>
        <v>125300</v>
      </c>
      <c r="F31" s="862">
        <f t="shared" si="3"/>
        <v>10086</v>
      </c>
      <c r="G31" s="862">
        <f t="shared" si="3"/>
        <v>10083</v>
      </c>
      <c r="H31" s="862">
        <f t="shared" si="3"/>
        <v>10087</v>
      </c>
      <c r="I31" s="862">
        <f t="shared" si="3"/>
        <v>-80084</v>
      </c>
      <c r="J31" s="862">
        <f t="shared" si="3"/>
        <v>-80086</v>
      </c>
      <c r="K31" s="862">
        <f t="shared" si="3"/>
        <v>129912</v>
      </c>
      <c r="L31" s="862">
        <f t="shared" si="3"/>
        <v>49913</v>
      </c>
      <c r="M31" s="862">
        <f t="shared" si="3"/>
        <v>-10078</v>
      </c>
      <c r="N31" s="862">
        <f t="shared" si="3"/>
        <v>-70085</v>
      </c>
      <c r="O31" s="863">
        <f t="shared" si="3"/>
        <v>0</v>
      </c>
      <c r="R31" s="946"/>
    </row>
    <row r="32" spans="1:18" x14ac:dyDescent="0.25">
      <c r="A32" s="864"/>
    </row>
    <row r="33" spans="2:15" x14ac:dyDescent="0.25">
      <c r="B33" s="865"/>
      <c r="C33" s="866"/>
      <c r="D33" s="866"/>
      <c r="O33" s="947"/>
    </row>
  </sheetData>
  <sheetProtection selectLockedCells="1" selectUnlockedCells="1"/>
  <mergeCells count="2">
    <mergeCell ref="B3:O3"/>
    <mergeCell ref="B15:O1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firstPageNumber="107" orientation="landscape" useFirstPageNumber="1" horizontalDpi="300" verticalDpi="300" r:id="rId1"/>
  <headerFooter alignWithMargins="0">
    <oddHeader>&amp;C&amp;"Times New Roman CE,Félkövér"&amp;12Vecsés Város Önkormányzat 2013. évi előirányzat-felhasználási ütemterve&amp;R&amp;"Arial,Normál"&amp;11 13. sz. melléklet</oddHeader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B1" workbookViewId="0">
      <selection activeCell="H17" sqref="H17"/>
    </sheetView>
  </sheetViews>
  <sheetFormatPr defaultColWidth="9.33203125" defaultRowHeight="12.75" x14ac:dyDescent="0.2"/>
  <cols>
    <col min="1" max="1" width="6.83203125" style="1279" customWidth="1"/>
    <col min="2" max="2" width="49.6640625" style="1280" customWidth="1"/>
    <col min="3" max="4" width="14.5" style="1280" customWidth="1"/>
    <col min="5" max="5" width="16.5" style="1280" customWidth="1"/>
    <col min="6" max="7" width="15.5" style="1280" customWidth="1"/>
    <col min="8" max="8" width="16.83203125" style="1280" customWidth="1"/>
    <col min="9" max="256" width="9.33203125" style="1280"/>
    <col min="257" max="257" width="6.83203125" style="1280" customWidth="1"/>
    <col min="258" max="258" width="49.6640625" style="1280" customWidth="1"/>
    <col min="259" max="260" width="14.5" style="1280" customWidth="1"/>
    <col min="261" max="261" width="16.5" style="1280" customWidth="1"/>
    <col min="262" max="263" width="15.5" style="1280" customWidth="1"/>
    <col min="264" max="264" width="16.83203125" style="1280" customWidth="1"/>
    <col min="265" max="512" width="9.33203125" style="1280"/>
    <col min="513" max="513" width="6.83203125" style="1280" customWidth="1"/>
    <col min="514" max="514" width="49.6640625" style="1280" customWidth="1"/>
    <col min="515" max="516" width="14.5" style="1280" customWidth="1"/>
    <col min="517" max="517" width="16.5" style="1280" customWidth="1"/>
    <col min="518" max="519" width="15.5" style="1280" customWidth="1"/>
    <col min="520" max="520" width="16.83203125" style="1280" customWidth="1"/>
    <col min="521" max="768" width="9.33203125" style="1280"/>
    <col min="769" max="769" width="6.83203125" style="1280" customWidth="1"/>
    <col min="770" max="770" width="49.6640625" style="1280" customWidth="1"/>
    <col min="771" max="772" width="14.5" style="1280" customWidth="1"/>
    <col min="773" max="773" width="16.5" style="1280" customWidth="1"/>
    <col min="774" max="775" width="15.5" style="1280" customWidth="1"/>
    <col min="776" max="776" width="16.83203125" style="1280" customWidth="1"/>
    <col min="777" max="1024" width="9.33203125" style="1280"/>
    <col min="1025" max="1025" width="6.83203125" style="1280" customWidth="1"/>
    <col min="1026" max="1026" width="49.6640625" style="1280" customWidth="1"/>
    <col min="1027" max="1028" width="14.5" style="1280" customWidth="1"/>
    <col min="1029" max="1029" width="16.5" style="1280" customWidth="1"/>
    <col min="1030" max="1031" width="15.5" style="1280" customWidth="1"/>
    <col min="1032" max="1032" width="16.83203125" style="1280" customWidth="1"/>
    <col min="1033" max="1280" width="9.33203125" style="1280"/>
    <col min="1281" max="1281" width="6.83203125" style="1280" customWidth="1"/>
    <col min="1282" max="1282" width="49.6640625" style="1280" customWidth="1"/>
    <col min="1283" max="1284" width="14.5" style="1280" customWidth="1"/>
    <col min="1285" max="1285" width="16.5" style="1280" customWidth="1"/>
    <col min="1286" max="1287" width="15.5" style="1280" customWidth="1"/>
    <col min="1288" max="1288" width="16.83203125" style="1280" customWidth="1"/>
    <col min="1289" max="1536" width="9.33203125" style="1280"/>
    <col min="1537" max="1537" width="6.83203125" style="1280" customWidth="1"/>
    <col min="1538" max="1538" width="49.6640625" style="1280" customWidth="1"/>
    <col min="1539" max="1540" width="14.5" style="1280" customWidth="1"/>
    <col min="1541" max="1541" width="16.5" style="1280" customWidth="1"/>
    <col min="1542" max="1543" width="15.5" style="1280" customWidth="1"/>
    <col min="1544" max="1544" width="16.83203125" style="1280" customWidth="1"/>
    <col min="1545" max="1792" width="9.33203125" style="1280"/>
    <col min="1793" max="1793" width="6.83203125" style="1280" customWidth="1"/>
    <col min="1794" max="1794" width="49.6640625" style="1280" customWidth="1"/>
    <col min="1795" max="1796" width="14.5" style="1280" customWidth="1"/>
    <col min="1797" max="1797" width="16.5" style="1280" customWidth="1"/>
    <col min="1798" max="1799" width="15.5" style="1280" customWidth="1"/>
    <col min="1800" max="1800" width="16.83203125" style="1280" customWidth="1"/>
    <col min="1801" max="2048" width="9.33203125" style="1280"/>
    <col min="2049" max="2049" width="6.83203125" style="1280" customWidth="1"/>
    <col min="2050" max="2050" width="49.6640625" style="1280" customWidth="1"/>
    <col min="2051" max="2052" width="14.5" style="1280" customWidth="1"/>
    <col min="2053" max="2053" width="16.5" style="1280" customWidth="1"/>
    <col min="2054" max="2055" width="15.5" style="1280" customWidth="1"/>
    <col min="2056" max="2056" width="16.83203125" style="1280" customWidth="1"/>
    <col min="2057" max="2304" width="9.33203125" style="1280"/>
    <col min="2305" max="2305" width="6.83203125" style="1280" customWidth="1"/>
    <col min="2306" max="2306" width="49.6640625" style="1280" customWidth="1"/>
    <col min="2307" max="2308" width="14.5" style="1280" customWidth="1"/>
    <col min="2309" max="2309" width="16.5" style="1280" customWidth="1"/>
    <col min="2310" max="2311" width="15.5" style="1280" customWidth="1"/>
    <col min="2312" max="2312" width="16.83203125" style="1280" customWidth="1"/>
    <col min="2313" max="2560" width="9.33203125" style="1280"/>
    <col min="2561" max="2561" width="6.83203125" style="1280" customWidth="1"/>
    <col min="2562" max="2562" width="49.6640625" style="1280" customWidth="1"/>
    <col min="2563" max="2564" width="14.5" style="1280" customWidth="1"/>
    <col min="2565" max="2565" width="16.5" style="1280" customWidth="1"/>
    <col min="2566" max="2567" width="15.5" style="1280" customWidth="1"/>
    <col min="2568" max="2568" width="16.83203125" style="1280" customWidth="1"/>
    <col min="2569" max="2816" width="9.33203125" style="1280"/>
    <col min="2817" max="2817" width="6.83203125" style="1280" customWidth="1"/>
    <col min="2818" max="2818" width="49.6640625" style="1280" customWidth="1"/>
    <col min="2819" max="2820" width="14.5" style="1280" customWidth="1"/>
    <col min="2821" max="2821" width="16.5" style="1280" customWidth="1"/>
    <col min="2822" max="2823" width="15.5" style="1280" customWidth="1"/>
    <col min="2824" max="2824" width="16.83203125" style="1280" customWidth="1"/>
    <col min="2825" max="3072" width="9.33203125" style="1280"/>
    <col min="3073" max="3073" width="6.83203125" style="1280" customWidth="1"/>
    <col min="3074" max="3074" width="49.6640625" style="1280" customWidth="1"/>
    <col min="3075" max="3076" width="14.5" style="1280" customWidth="1"/>
    <col min="3077" max="3077" width="16.5" style="1280" customWidth="1"/>
    <col min="3078" max="3079" width="15.5" style="1280" customWidth="1"/>
    <col min="3080" max="3080" width="16.83203125" style="1280" customWidth="1"/>
    <col min="3081" max="3328" width="9.33203125" style="1280"/>
    <col min="3329" max="3329" width="6.83203125" style="1280" customWidth="1"/>
    <col min="3330" max="3330" width="49.6640625" style="1280" customWidth="1"/>
    <col min="3331" max="3332" width="14.5" style="1280" customWidth="1"/>
    <col min="3333" max="3333" width="16.5" style="1280" customWidth="1"/>
    <col min="3334" max="3335" width="15.5" style="1280" customWidth="1"/>
    <col min="3336" max="3336" width="16.83203125" style="1280" customWidth="1"/>
    <col min="3337" max="3584" width="9.33203125" style="1280"/>
    <col min="3585" max="3585" width="6.83203125" style="1280" customWidth="1"/>
    <col min="3586" max="3586" width="49.6640625" style="1280" customWidth="1"/>
    <col min="3587" max="3588" width="14.5" style="1280" customWidth="1"/>
    <col min="3589" max="3589" width="16.5" style="1280" customWidth="1"/>
    <col min="3590" max="3591" width="15.5" style="1280" customWidth="1"/>
    <col min="3592" max="3592" width="16.83203125" style="1280" customWidth="1"/>
    <col min="3593" max="3840" width="9.33203125" style="1280"/>
    <col min="3841" max="3841" width="6.83203125" style="1280" customWidth="1"/>
    <col min="3842" max="3842" width="49.6640625" style="1280" customWidth="1"/>
    <col min="3843" max="3844" width="14.5" style="1280" customWidth="1"/>
    <col min="3845" max="3845" width="16.5" style="1280" customWidth="1"/>
    <col min="3846" max="3847" width="15.5" style="1280" customWidth="1"/>
    <col min="3848" max="3848" width="16.83203125" style="1280" customWidth="1"/>
    <col min="3849" max="4096" width="9.33203125" style="1280"/>
    <col min="4097" max="4097" width="6.83203125" style="1280" customWidth="1"/>
    <col min="4098" max="4098" width="49.6640625" style="1280" customWidth="1"/>
    <col min="4099" max="4100" width="14.5" style="1280" customWidth="1"/>
    <col min="4101" max="4101" width="16.5" style="1280" customWidth="1"/>
    <col min="4102" max="4103" width="15.5" style="1280" customWidth="1"/>
    <col min="4104" max="4104" width="16.83203125" style="1280" customWidth="1"/>
    <col min="4105" max="4352" width="9.33203125" style="1280"/>
    <col min="4353" max="4353" width="6.83203125" style="1280" customWidth="1"/>
    <col min="4354" max="4354" width="49.6640625" style="1280" customWidth="1"/>
    <col min="4355" max="4356" width="14.5" style="1280" customWidth="1"/>
    <col min="4357" max="4357" width="16.5" style="1280" customWidth="1"/>
    <col min="4358" max="4359" width="15.5" style="1280" customWidth="1"/>
    <col min="4360" max="4360" width="16.83203125" style="1280" customWidth="1"/>
    <col min="4361" max="4608" width="9.33203125" style="1280"/>
    <col min="4609" max="4609" width="6.83203125" style="1280" customWidth="1"/>
    <col min="4610" max="4610" width="49.6640625" style="1280" customWidth="1"/>
    <col min="4611" max="4612" width="14.5" style="1280" customWidth="1"/>
    <col min="4613" max="4613" width="16.5" style="1280" customWidth="1"/>
    <col min="4614" max="4615" width="15.5" style="1280" customWidth="1"/>
    <col min="4616" max="4616" width="16.83203125" style="1280" customWidth="1"/>
    <col min="4617" max="4864" width="9.33203125" style="1280"/>
    <col min="4865" max="4865" width="6.83203125" style="1280" customWidth="1"/>
    <col min="4866" max="4866" width="49.6640625" style="1280" customWidth="1"/>
    <col min="4867" max="4868" width="14.5" style="1280" customWidth="1"/>
    <col min="4869" max="4869" width="16.5" style="1280" customWidth="1"/>
    <col min="4870" max="4871" width="15.5" style="1280" customWidth="1"/>
    <col min="4872" max="4872" width="16.83203125" style="1280" customWidth="1"/>
    <col min="4873" max="5120" width="9.33203125" style="1280"/>
    <col min="5121" max="5121" width="6.83203125" style="1280" customWidth="1"/>
    <col min="5122" max="5122" width="49.6640625" style="1280" customWidth="1"/>
    <col min="5123" max="5124" width="14.5" style="1280" customWidth="1"/>
    <col min="5125" max="5125" width="16.5" style="1280" customWidth="1"/>
    <col min="5126" max="5127" width="15.5" style="1280" customWidth="1"/>
    <col min="5128" max="5128" width="16.83203125" style="1280" customWidth="1"/>
    <col min="5129" max="5376" width="9.33203125" style="1280"/>
    <col min="5377" max="5377" width="6.83203125" style="1280" customWidth="1"/>
    <col min="5378" max="5378" width="49.6640625" style="1280" customWidth="1"/>
    <col min="5379" max="5380" width="14.5" style="1280" customWidth="1"/>
    <col min="5381" max="5381" width="16.5" style="1280" customWidth="1"/>
    <col min="5382" max="5383" width="15.5" style="1280" customWidth="1"/>
    <col min="5384" max="5384" width="16.83203125" style="1280" customWidth="1"/>
    <col min="5385" max="5632" width="9.33203125" style="1280"/>
    <col min="5633" max="5633" width="6.83203125" style="1280" customWidth="1"/>
    <col min="5634" max="5634" width="49.6640625" style="1280" customWidth="1"/>
    <col min="5635" max="5636" width="14.5" style="1280" customWidth="1"/>
    <col min="5637" max="5637" width="16.5" style="1280" customWidth="1"/>
    <col min="5638" max="5639" width="15.5" style="1280" customWidth="1"/>
    <col min="5640" max="5640" width="16.83203125" style="1280" customWidth="1"/>
    <col min="5641" max="5888" width="9.33203125" style="1280"/>
    <col min="5889" max="5889" width="6.83203125" style="1280" customWidth="1"/>
    <col min="5890" max="5890" width="49.6640625" style="1280" customWidth="1"/>
    <col min="5891" max="5892" width="14.5" style="1280" customWidth="1"/>
    <col min="5893" max="5893" width="16.5" style="1280" customWidth="1"/>
    <col min="5894" max="5895" width="15.5" style="1280" customWidth="1"/>
    <col min="5896" max="5896" width="16.83203125" style="1280" customWidth="1"/>
    <col min="5897" max="6144" width="9.33203125" style="1280"/>
    <col min="6145" max="6145" width="6.83203125" style="1280" customWidth="1"/>
    <col min="6146" max="6146" width="49.6640625" style="1280" customWidth="1"/>
    <col min="6147" max="6148" width="14.5" style="1280" customWidth="1"/>
    <col min="6149" max="6149" width="16.5" style="1280" customWidth="1"/>
    <col min="6150" max="6151" width="15.5" style="1280" customWidth="1"/>
    <col min="6152" max="6152" width="16.83203125" style="1280" customWidth="1"/>
    <col min="6153" max="6400" width="9.33203125" style="1280"/>
    <col min="6401" max="6401" width="6.83203125" style="1280" customWidth="1"/>
    <col min="6402" max="6402" width="49.6640625" style="1280" customWidth="1"/>
    <col min="6403" max="6404" width="14.5" style="1280" customWidth="1"/>
    <col min="6405" max="6405" width="16.5" style="1280" customWidth="1"/>
    <col min="6406" max="6407" width="15.5" style="1280" customWidth="1"/>
    <col min="6408" max="6408" width="16.83203125" style="1280" customWidth="1"/>
    <col min="6409" max="6656" width="9.33203125" style="1280"/>
    <col min="6657" max="6657" width="6.83203125" style="1280" customWidth="1"/>
    <col min="6658" max="6658" width="49.6640625" style="1280" customWidth="1"/>
    <col min="6659" max="6660" width="14.5" style="1280" customWidth="1"/>
    <col min="6661" max="6661" width="16.5" style="1280" customWidth="1"/>
    <col min="6662" max="6663" width="15.5" style="1280" customWidth="1"/>
    <col min="6664" max="6664" width="16.83203125" style="1280" customWidth="1"/>
    <col min="6665" max="6912" width="9.33203125" style="1280"/>
    <col min="6913" max="6913" width="6.83203125" style="1280" customWidth="1"/>
    <col min="6914" max="6914" width="49.6640625" style="1280" customWidth="1"/>
    <col min="6915" max="6916" width="14.5" style="1280" customWidth="1"/>
    <col min="6917" max="6917" width="16.5" style="1280" customWidth="1"/>
    <col min="6918" max="6919" width="15.5" style="1280" customWidth="1"/>
    <col min="6920" max="6920" width="16.83203125" style="1280" customWidth="1"/>
    <col min="6921" max="7168" width="9.33203125" style="1280"/>
    <col min="7169" max="7169" width="6.83203125" style="1280" customWidth="1"/>
    <col min="7170" max="7170" width="49.6640625" style="1280" customWidth="1"/>
    <col min="7171" max="7172" width="14.5" style="1280" customWidth="1"/>
    <col min="7173" max="7173" width="16.5" style="1280" customWidth="1"/>
    <col min="7174" max="7175" width="15.5" style="1280" customWidth="1"/>
    <col min="7176" max="7176" width="16.83203125" style="1280" customWidth="1"/>
    <col min="7177" max="7424" width="9.33203125" style="1280"/>
    <col min="7425" max="7425" width="6.83203125" style="1280" customWidth="1"/>
    <col min="7426" max="7426" width="49.6640625" style="1280" customWidth="1"/>
    <col min="7427" max="7428" width="14.5" style="1280" customWidth="1"/>
    <col min="7429" max="7429" width="16.5" style="1280" customWidth="1"/>
    <col min="7430" max="7431" width="15.5" style="1280" customWidth="1"/>
    <col min="7432" max="7432" width="16.83203125" style="1280" customWidth="1"/>
    <col min="7433" max="7680" width="9.33203125" style="1280"/>
    <col min="7681" max="7681" width="6.83203125" style="1280" customWidth="1"/>
    <col min="7682" max="7682" width="49.6640625" style="1280" customWidth="1"/>
    <col min="7683" max="7684" width="14.5" style="1280" customWidth="1"/>
    <col min="7685" max="7685" width="16.5" style="1280" customWidth="1"/>
    <col min="7686" max="7687" width="15.5" style="1280" customWidth="1"/>
    <col min="7688" max="7688" width="16.83203125" style="1280" customWidth="1"/>
    <col min="7689" max="7936" width="9.33203125" style="1280"/>
    <col min="7937" max="7937" width="6.83203125" style="1280" customWidth="1"/>
    <col min="7938" max="7938" width="49.6640625" style="1280" customWidth="1"/>
    <col min="7939" max="7940" width="14.5" style="1280" customWidth="1"/>
    <col min="7941" max="7941" width="16.5" style="1280" customWidth="1"/>
    <col min="7942" max="7943" width="15.5" style="1280" customWidth="1"/>
    <col min="7944" max="7944" width="16.83203125" style="1280" customWidth="1"/>
    <col min="7945" max="8192" width="9.33203125" style="1280"/>
    <col min="8193" max="8193" width="6.83203125" style="1280" customWidth="1"/>
    <col min="8194" max="8194" width="49.6640625" style="1280" customWidth="1"/>
    <col min="8195" max="8196" width="14.5" style="1280" customWidth="1"/>
    <col min="8197" max="8197" width="16.5" style="1280" customWidth="1"/>
    <col min="8198" max="8199" width="15.5" style="1280" customWidth="1"/>
    <col min="8200" max="8200" width="16.83203125" style="1280" customWidth="1"/>
    <col min="8201" max="8448" width="9.33203125" style="1280"/>
    <col min="8449" max="8449" width="6.83203125" style="1280" customWidth="1"/>
    <col min="8450" max="8450" width="49.6640625" style="1280" customWidth="1"/>
    <col min="8451" max="8452" width="14.5" style="1280" customWidth="1"/>
    <col min="8453" max="8453" width="16.5" style="1280" customWidth="1"/>
    <col min="8454" max="8455" width="15.5" style="1280" customWidth="1"/>
    <col min="8456" max="8456" width="16.83203125" style="1280" customWidth="1"/>
    <col min="8457" max="8704" width="9.33203125" style="1280"/>
    <col min="8705" max="8705" width="6.83203125" style="1280" customWidth="1"/>
    <col min="8706" max="8706" width="49.6640625" style="1280" customWidth="1"/>
    <col min="8707" max="8708" width="14.5" style="1280" customWidth="1"/>
    <col min="8709" max="8709" width="16.5" style="1280" customWidth="1"/>
    <col min="8710" max="8711" width="15.5" style="1280" customWidth="1"/>
    <col min="8712" max="8712" width="16.83203125" style="1280" customWidth="1"/>
    <col min="8713" max="8960" width="9.33203125" style="1280"/>
    <col min="8961" max="8961" width="6.83203125" style="1280" customWidth="1"/>
    <col min="8962" max="8962" width="49.6640625" style="1280" customWidth="1"/>
    <col min="8963" max="8964" width="14.5" style="1280" customWidth="1"/>
    <col min="8965" max="8965" width="16.5" style="1280" customWidth="1"/>
    <col min="8966" max="8967" width="15.5" style="1280" customWidth="1"/>
    <col min="8968" max="8968" width="16.83203125" style="1280" customWidth="1"/>
    <col min="8969" max="9216" width="9.33203125" style="1280"/>
    <col min="9217" max="9217" width="6.83203125" style="1280" customWidth="1"/>
    <col min="9218" max="9218" width="49.6640625" style="1280" customWidth="1"/>
    <col min="9219" max="9220" width="14.5" style="1280" customWidth="1"/>
    <col min="9221" max="9221" width="16.5" style="1280" customWidth="1"/>
    <col min="9222" max="9223" width="15.5" style="1280" customWidth="1"/>
    <col min="9224" max="9224" width="16.83203125" style="1280" customWidth="1"/>
    <col min="9225" max="9472" width="9.33203125" style="1280"/>
    <col min="9473" max="9473" width="6.83203125" style="1280" customWidth="1"/>
    <col min="9474" max="9474" width="49.6640625" style="1280" customWidth="1"/>
    <col min="9475" max="9476" width="14.5" style="1280" customWidth="1"/>
    <col min="9477" max="9477" width="16.5" style="1280" customWidth="1"/>
    <col min="9478" max="9479" width="15.5" style="1280" customWidth="1"/>
    <col min="9480" max="9480" width="16.83203125" style="1280" customWidth="1"/>
    <col min="9481" max="9728" width="9.33203125" style="1280"/>
    <col min="9729" max="9729" width="6.83203125" style="1280" customWidth="1"/>
    <col min="9730" max="9730" width="49.6640625" style="1280" customWidth="1"/>
    <col min="9731" max="9732" width="14.5" style="1280" customWidth="1"/>
    <col min="9733" max="9733" width="16.5" style="1280" customWidth="1"/>
    <col min="9734" max="9735" width="15.5" style="1280" customWidth="1"/>
    <col min="9736" max="9736" width="16.83203125" style="1280" customWidth="1"/>
    <col min="9737" max="9984" width="9.33203125" style="1280"/>
    <col min="9985" max="9985" width="6.83203125" style="1280" customWidth="1"/>
    <col min="9986" max="9986" width="49.6640625" style="1280" customWidth="1"/>
    <col min="9987" max="9988" width="14.5" style="1280" customWidth="1"/>
    <col min="9989" max="9989" width="16.5" style="1280" customWidth="1"/>
    <col min="9990" max="9991" width="15.5" style="1280" customWidth="1"/>
    <col min="9992" max="9992" width="16.83203125" style="1280" customWidth="1"/>
    <col min="9993" max="10240" width="9.33203125" style="1280"/>
    <col min="10241" max="10241" width="6.83203125" style="1280" customWidth="1"/>
    <col min="10242" max="10242" width="49.6640625" style="1280" customWidth="1"/>
    <col min="10243" max="10244" width="14.5" style="1280" customWidth="1"/>
    <col min="10245" max="10245" width="16.5" style="1280" customWidth="1"/>
    <col min="10246" max="10247" width="15.5" style="1280" customWidth="1"/>
    <col min="10248" max="10248" width="16.83203125" style="1280" customWidth="1"/>
    <col min="10249" max="10496" width="9.33203125" style="1280"/>
    <col min="10497" max="10497" width="6.83203125" style="1280" customWidth="1"/>
    <col min="10498" max="10498" width="49.6640625" style="1280" customWidth="1"/>
    <col min="10499" max="10500" width="14.5" style="1280" customWidth="1"/>
    <col min="10501" max="10501" width="16.5" style="1280" customWidth="1"/>
    <col min="10502" max="10503" width="15.5" style="1280" customWidth="1"/>
    <col min="10504" max="10504" width="16.83203125" style="1280" customWidth="1"/>
    <col min="10505" max="10752" width="9.33203125" style="1280"/>
    <col min="10753" max="10753" width="6.83203125" style="1280" customWidth="1"/>
    <col min="10754" max="10754" width="49.6640625" style="1280" customWidth="1"/>
    <col min="10755" max="10756" width="14.5" style="1280" customWidth="1"/>
    <col min="10757" max="10757" width="16.5" style="1280" customWidth="1"/>
    <col min="10758" max="10759" width="15.5" style="1280" customWidth="1"/>
    <col min="10760" max="10760" width="16.83203125" style="1280" customWidth="1"/>
    <col min="10761" max="11008" width="9.33203125" style="1280"/>
    <col min="11009" max="11009" width="6.83203125" style="1280" customWidth="1"/>
    <col min="11010" max="11010" width="49.6640625" style="1280" customWidth="1"/>
    <col min="11011" max="11012" width="14.5" style="1280" customWidth="1"/>
    <col min="11013" max="11013" width="16.5" style="1280" customWidth="1"/>
    <col min="11014" max="11015" width="15.5" style="1280" customWidth="1"/>
    <col min="11016" max="11016" width="16.83203125" style="1280" customWidth="1"/>
    <col min="11017" max="11264" width="9.33203125" style="1280"/>
    <col min="11265" max="11265" width="6.83203125" style="1280" customWidth="1"/>
    <col min="11266" max="11266" width="49.6640625" style="1280" customWidth="1"/>
    <col min="11267" max="11268" width="14.5" style="1280" customWidth="1"/>
    <col min="11269" max="11269" width="16.5" style="1280" customWidth="1"/>
    <col min="11270" max="11271" width="15.5" style="1280" customWidth="1"/>
    <col min="11272" max="11272" width="16.83203125" style="1280" customWidth="1"/>
    <col min="11273" max="11520" width="9.33203125" style="1280"/>
    <col min="11521" max="11521" width="6.83203125" style="1280" customWidth="1"/>
    <col min="11522" max="11522" width="49.6640625" style="1280" customWidth="1"/>
    <col min="11523" max="11524" width="14.5" style="1280" customWidth="1"/>
    <col min="11525" max="11525" width="16.5" style="1280" customWidth="1"/>
    <col min="11526" max="11527" width="15.5" style="1280" customWidth="1"/>
    <col min="11528" max="11528" width="16.83203125" style="1280" customWidth="1"/>
    <col min="11529" max="11776" width="9.33203125" style="1280"/>
    <col min="11777" max="11777" width="6.83203125" style="1280" customWidth="1"/>
    <col min="11778" max="11778" width="49.6640625" style="1280" customWidth="1"/>
    <col min="11779" max="11780" width="14.5" style="1280" customWidth="1"/>
    <col min="11781" max="11781" width="16.5" style="1280" customWidth="1"/>
    <col min="11782" max="11783" width="15.5" style="1280" customWidth="1"/>
    <col min="11784" max="11784" width="16.83203125" style="1280" customWidth="1"/>
    <col min="11785" max="12032" width="9.33203125" style="1280"/>
    <col min="12033" max="12033" width="6.83203125" style="1280" customWidth="1"/>
    <col min="12034" max="12034" width="49.6640625" style="1280" customWidth="1"/>
    <col min="12035" max="12036" width="14.5" style="1280" customWidth="1"/>
    <col min="12037" max="12037" width="16.5" style="1280" customWidth="1"/>
    <col min="12038" max="12039" width="15.5" style="1280" customWidth="1"/>
    <col min="12040" max="12040" width="16.83203125" style="1280" customWidth="1"/>
    <col min="12041" max="12288" width="9.33203125" style="1280"/>
    <col min="12289" max="12289" width="6.83203125" style="1280" customWidth="1"/>
    <col min="12290" max="12290" width="49.6640625" style="1280" customWidth="1"/>
    <col min="12291" max="12292" width="14.5" style="1280" customWidth="1"/>
    <col min="12293" max="12293" width="16.5" style="1280" customWidth="1"/>
    <col min="12294" max="12295" width="15.5" style="1280" customWidth="1"/>
    <col min="12296" max="12296" width="16.83203125" style="1280" customWidth="1"/>
    <col min="12297" max="12544" width="9.33203125" style="1280"/>
    <col min="12545" max="12545" width="6.83203125" style="1280" customWidth="1"/>
    <col min="12546" max="12546" width="49.6640625" style="1280" customWidth="1"/>
    <col min="12547" max="12548" width="14.5" style="1280" customWidth="1"/>
    <col min="12549" max="12549" width="16.5" style="1280" customWidth="1"/>
    <col min="12550" max="12551" width="15.5" style="1280" customWidth="1"/>
    <col min="12552" max="12552" width="16.83203125" style="1280" customWidth="1"/>
    <col min="12553" max="12800" width="9.33203125" style="1280"/>
    <col min="12801" max="12801" width="6.83203125" style="1280" customWidth="1"/>
    <col min="12802" max="12802" width="49.6640625" style="1280" customWidth="1"/>
    <col min="12803" max="12804" width="14.5" style="1280" customWidth="1"/>
    <col min="12805" max="12805" width="16.5" style="1280" customWidth="1"/>
    <col min="12806" max="12807" width="15.5" style="1280" customWidth="1"/>
    <col min="12808" max="12808" width="16.83203125" style="1280" customWidth="1"/>
    <col min="12809" max="13056" width="9.33203125" style="1280"/>
    <col min="13057" max="13057" width="6.83203125" style="1280" customWidth="1"/>
    <col min="13058" max="13058" width="49.6640625" style="1280" customWidth="1"/>
    <col min="13059" max="13060" width="14.5" style="1280" customWidth="1"/>
    <col min="13061" max="13061" width="16.5" style="1280" customWidth="1"/>
    <col min="13062" max="13063" width="15.5" style="1280" customWidth="1"/>
    <col min="13064" max="13064" width="16.83203125" style="1280" customWidth="1"/>
    <col min="13065" max="13312" width="9.33203125" style="1280"/>
    <col min="13313" max="13313" width="6.83203125" style="1280" customWidth="1"/>
    <col min="13314" max="13314" width="49.6640625" style="1280" customWidth="1"/>
    <col min="13315" max="13316" width="14.5" style="1280" customWidth="1"/>
    <col min="13317" max="13317" width="16.5" style="1280" customWidth="1"/>
    <col min="13318" max="13319" width="15.5" style="1280" customWidth="1"/>
    <col min="13320" max="13320" width="16.83203125" style="1280" customWidth="1"/>
    <col min="13321" max="13568" width="9.33203125" style="1280"/>
    <col min="13569" max="13569" width="6.83203125" style="1280" customWidth="1"/>
    <col min="13570" max="13570" width="49.6640625" style="1280" customWidth="1"/>
    <col min="13571" max="13572" width="14.5" style="1280" customWidth="1"/>
    <col min="13573" max="13573" width="16.5" style="1280" customWidth="1"/>
    <col min="13574" max="13575" width="15.5" style="1280" customWidth="1"/>
    <col min="13576" max="13576" width="16.83203125" style="1280" customWidth="1"/>
    <col min="13577" max="13824" width="9.33203125" style="1280"/>
    <col min="13825" max="13825" width="6.83203125" style="1280" customWidth="1"/>
    <col min="13826" max="13826" width="49.6640625" style="1280" customWidth="1"/>
    <col min="13827" max="13828" width="14.5" style="1280" customWidth="1"/>
    <col min="13829" max="13829" width="16.5" style="1280" customWidth="1"/>
    <col min="13830" max="13831" width="15.5" style="1280" customWidth="1"/>
    <col min="13832" max="13832" width="16.83203125" style="1280" customWidth="1"/>
    <col min="13833" max="14080" width="9.33203125" style="1280"/>
    <col min="14081" max="14081" width="6.83203125" style="1280" customWidth="1"/>
    <col min="14082" max="14082" width="49.6640625" style="1280" customWidth="1"/>
    <col min="14083" max="14084" width="14.5" style="1280" customWidth="1"/>
    <col min="14085" max="14085" width="16.5" style="1280" customWidth="1"/>
    <col min="14086" max="14087" width="15.5" style="1280" customWidth="1"/>
    <col min="14088" max="14088" width="16.83203125" style="1280" customWidth="1"/>
    <col min="14089" max="14336" width="9.33203125" style="1280"/>
    <col min="14337" max="14337" width="6.83203125" style="1280" customWidth="1"/>
    <col min="14338" max="14338" width="49.6640625" style="1280" customWidth="1"/>
    <col min="14339" max="14340" width="14.5" style="1280" customWidth="1"/>
    <col min="14341" max="14341" width="16.5" style="1280" customWidth="1"/>
    <col min="14342" max="14343" width="15.5" style="1280" customWidth="1"/>
    <col min="14344" max="14344" width="16.83203125" style="1280" customWidth="1"/>
    <col min="14345" max="14592" width="9.33203125" style="1280"/>
    <col min="14593" max="14593" width="6.83203125" style="1280" customWidth="1"/>
    <col min="14594" max="14594" width="49.6640625" style="1280" customWidth="1"/>
    <col min="14595" max="14596" width="14.5" style="1280" customWidth="1"/>
    <col min="14597" max="14597" width="16.5" style="1280" customWidth="1"/>
    <col min="14598" max="14599" width="15.5" style="1280" customWidth="1"/>
    <col min="14600" max="14600" width="16.83203125" style="1280" customWidth="1"/>
    <col min="14601" max="14848" width="9.33203125" style="1280"/>
    <col min="14849" max="14849" width="6.83203125" style="1280" customWidth="1"/>
    <col min="14850" max="14850" width="49.6640625" style="1280" customWidth="1"/>
    <col min="14851" max="14852" width="14.5" style="1280" customWidth="1"/>
    <col min="14853" max="14853" width="16.5" style="1280" customWidth="1"/>
    <col min="14854" max="14855" width="15.5" style="1280" customWidth="1"/>
    <col min="14856" max="14856" width="16.83203125" style="1280" customWidth="1"/>
    <col min="14857" max="15104" width="9.33203125" style="1280"/>
    <col min="15105" max="15105" width="6.83203125" style="1280" customWidth="1"/>
    <col min="15106" max="15106" width="49.6640625" style="1280" customWidth="1"/>
    <col min="15107" max="15108" width="14.5" style="1280" customWidth="1"/>
    <col min="15109" max="15109" width="16.5" style="1280" customWidth="1"/>
    <col min="15110" max="15111" width="15.5" style="1280" customWidth="1"/>
    <col min="15112" max="15112" width="16.83203125" style="1280" customWidth="1"/>
    <col min="15113" max="15360" width="9.33203125" style="1280"/>
    <col min="15361" max="15361" width="6.83203125" style="1280" customWidth="1"/>
    <col min="15362" max="15362" width="49.6640625" style="1280" customWidth="1"/>
    <col min="15363" max="15364" width="14.5" style="1280" customWidth="1"/>
    <col min="15365" max="15365" width="16.5" style="1280" customWidth="1"/>
    <col min="15366" max="15367" width="15.5" style="1280" customWidth="1"/>
    <col min="15368" max="15368" width="16.83203125" style="1280" customWidth="1"/>
    <col min="15369" max="15616" width="9.33203125" style="1280"/>
    <col min="15617" max="15617" width="6.83203125" style="1280" customWidth="1"/>
    <col min="15618" max="15618" width="49.6640625" style="1280" customWidth="1"/>
    <col min="15619" max="15620" width="14.5" style="1280" customWidth="1"/>
    <col min="15621" max="15621" width="16.5" style="1280" customWidth="1"/>
    <col min="15622" max="15623" width="15.5" style="1280" customWidth="1"/>
    <col min="15624" max="15624" width="16.83203125" style="1280" customWidth="1"/>
    <col min="15625" max="15872" width="9.33203125" style="1280"/>
    <col min="15873" max="15873" width="6.83203125" style="1280" customWidth="1"/>
    <col min="15874" max="15874" width="49.6640625" style="1280" customWidth="1"/>
    <col min="15875" max="15876" width="14.5" style="1280" customWidth="1"/>
    <col min="15877" max="15877" width="16.5" style="1280" customWidth="1"/>
    <col min="15878" max="15879" width="15.5" style="1280" customWidth="1"/>
    <col min="15880" max="15880" width="16.83203125" style="1280" customWidth="1"/>
    <col min="15881" max="16128" width="9.33203125" style="1280"/>
    <col min="16129" max="16129" width="6.83203125" style="1280" customWidth="1"/>
    <col min="16130" max="16130" width="49.6640625" style="1280" customWidth="1"/>
    <col min="16131" max="16132" width="14.5" style="1280" customWidth="1"/>
    <col min="16133" max="16133" width="16.5" style="1280" customWidth="1"/>
    <col min="16134" max="16135" width="15.5" style="1280" customWidth="1"/>
    <col min="16136" max="16136" width="16.83203125" style="1280" customWidth="1"/>
    <col min="16137" max="16384" width="9.33203125" style="1280"/>
  </cols>
  <sheetData>
    <row r="1" spans="1:8" s="1240" customFormat="1" ht="15.75" thickBot="1" x14ac:dyDescent="0.25">
      <c r="A1" s="1239"/>
      <c r="H1" s="1241" t="s">
        <v>1349</v>
      </c>
    </row>
    <row r="2" spans="1:8" s="1245" customFormat="1" ht="26.25" customHeight="1" x14ac:dyDescent="0.2">
      <c r="A2" s="1671" t="s">
        <v>197</v>
      </c>
      <c r="B2" s="1673" t="s">
        <v>1350</v>
      </c>
      <c r="C2" s="1671" t="s">
        <v>1351</v>
      </c>
      <c r="D2" s="1671" t="s">
        <v>1352</v>
      </c>
      <c r="E2" s="1242" t="s">
        <v>1353</v>
      </c>
      <c r="F2" s="1243"/>
      <c r="G2" s="1243"/>
      <c r="H2" s="1244"/>
    </row>
    <row r="3" spans="1:8" s="1248" customFormat="1" ht="32.25" customHeight="1" thickBot="1" x14ac:dyDescent="0.25">
      <c r="A3" s="1672"/>
      <c r="B3" s="1674"/>
      <c r="C3" s="1674"/>
      <c r="D3" s="1672"/>
      <c r="E3" s="1246">
        <v>2013</v>
      </c>
      <c r="F3" s="1246">
        <v>2014</v>
      </c>
      <c r="G3" s="1246">
        <v>2015</v>
      </c>
      <c r="H3" s="1247" t="s">
        <v>1506</v>
      </c>
    </row>
    <row r="4" spans="1:8" s="1253" customFormat="1" ht="18.75" customHeight="1" thickBot="1" x14ac:dyDescent="0.25">
      <c r="A4" s="1249">
        <v>1</v>
      </c>
      <c r="B4" s="1250">
        <v>2</v>
      </c>
      <c r="C4" s="1250">
        <v>3</v>
      </c>
      <c r="D4" s="1251">
        <v>4</v>
      </c>
      <c r="E4" s="1249">
        <v>5</v>
      </c>
      <c r="F4" s="1251">
        <v>6</v>
      </c>
      <c r="G4" s="1251">
        <v>7</v>
      </c>
      <c r="H4" s="1252">
        <v>8</v>
      </c>
    </row>
    <row r="5" spans="1:8" s="1261" customFormat="1" ht="20.100000000000001" customHeight="1" thickBot="1" x14ac:dyDescent="0.25">
      <c r="A5" s="1254" t="s">
        <v>5</v>
      </c>
      <c r="B5" s="1255" t="s">
        <v>1354</v>
      </c>
      <c r="C5" s="1256"/>
      <c r="D5" s="1257"/>
      <c r="E5" s="1258">
        <f>SUM(E6:E9)</f>
        <v>0</v>
      </c>
      <c r="F5" s="1259">
        <f>SUM(F6:F9)</f>
        <v>0</v>
      </c>
      <c r="G5" s="1259">
        <f>SUM(G6:G9)</f>
        <v>0</v>
      </c>
      <c r="H5" s="1260">
        <f>SUM(H6:H9)</f>
        <v>0</v>
      </c>
    </row>
    <row r="6" spans="1:8" s="1261" customFormat="1" ht="20.100000000000001" customHeight="1" x14ac:dyDescent="0.2">
      <c r="A6" s="1262" t="s">
        <v>6</v>
      </c>
      <c r="B6" s="1263"/>
      <c r="C6" s="1264"/>
      <c r="D6" s="1265"/>
      <c r="E6" s="1266">
        <v>0</v>
      </c>
      <c r="F6" s="1267"/>
      <c r="G6" s="1267"/>
      <c r="H6" s="1268"/>
    </row>
    <row r="7" spans="1:8" s="1261" customFormat="1" ht="20.100000000000001" customHeight="1" x14ac:dyDescent="0.2">
      <c r="A7" s="1262" t="s">
        <v>20</v>
      </c>
      <c r="B7" s="1263"/>
      <c r="C7" s="1264"/>
      <c r="D7" s="1265"/>
      <c r="E7" s="1266"/>
      <c r="F7" s="1267"/>
      <c r="G7" s="1267"/>
      <c r="H7" s="1268"/>
    </row>
    <row r="8" spans="1:8" s="1261" customFormat="1" ht="20.100000000000001" customHeight="1" x14ac:dyDescent="0.2">
      <c r="A8" s="1262" t="s">
        <v>150</v>
      </c>
      <c r="B8" s="1263"/>
      <c r="C8" s="1264"/>
      <c r="D8" s="1265"/>
      <c r="E8" s="1266"/>
      <c r="F8" s="1267"/>
      <c r="G8" s="1267"/>
      <c r="H8" s="1268"/>
    </row>
    <row r="9" spans="1:8" s="1261" customFormat="1" ht="20.100000000000001" customHeight="1" thickBot="1" x14ac:dyDescent="0.25">
      <c r="A9" s="1262" t="s">
        <v>39</v>
      </c>
      <c r="B9" s="1263"/>
      <c r="C9" s="1264"/>
      <c r="D9" s="1265"/>
      <c r="E9" s="1266"/>
      <c r="F9" s="1267"/>
      <c r="G9" s="1267"/>
      <c r="H9" s="1268"/>
    </row>
    <row r="10" spans="1:8" s="1261" customFormat="1" ht="20.100000000000001" customHeight="1" thickBot="1" x14ac:dyDescent="0.25">
      <c r="A10" s="1254" t="s">
        <v>49</v>
      </c>
      <c r="B10" s="1255" t="s">
        <v>1355</v>
      </c>
      <c r="C10" s="1256"/>
      <c r="D10" s="1257"/>
      <c r="E10" s="1258">
        <f>SUM(E11:E17)</f>
        <v>2137186</v>
      </c>
      <c r="F10" s="1258">
        <f>SUM(F11:F17)</f>
        <v>2071689</v>
      </c>
      <c r="G10" s="1258">
        <f>SUM(G11:G17)</f>
        <v>1969108</v>
      </c>
      <c r="H10" s="1258">
        <f>SUM(H11:H17)</f>
        <v>1865497</v>
      </c>
    </row>
    <row r="11" spans="1:8" s="1261" customFormat="1" ht="39.75" customHeight="1" x14ac:dyDescent="0.2">
      <c r="A11" s="1262" t="s">
        <v>179</v>
      </c>
      <c r="B11" s="1263" t="s">
        <v>1356</v>
      </c>
      <c r="C11" s="1264">
        <v>2010</v>
      </c>
      <c r="D11" s="1265">
        <v>2030</v>
      </c>
      <c r="E11" s="1266">
        <v>200000</v>
      </c>
      <c r="F11" s="1267">
        <v>191303</v>
      </c>
      <c r="G11" s="1267">
        <v>179707</v>
      </c>
      <c r="H11" s="1268">
        <v>168111</v>
      </c>
    </row>
    <row r="12" spans="1:8" s="1261" customFormat="1" ht="25.5" customHeight="1" x14ac:dyDescent="0.2">
      <c r="A12" s="1262" t="s">
        <v>75</v>
      </c>
      <c r="B12" s="1263" t="s">
        <v>1356</v>
      </c>
      <c r="C12" s="1264">
        <v>2011</v>
      </c>
      <c r="D12" s="1265">
        <v>2031</v>
      </c>
      <c r="E12" s="1266">
        <v>500000</v>
      </c>
      <c r="F12" s="1267">
        <v>500000</v>
      </c>
      <c r="G12" s="1267">
        <v>471015</v>
      </c>
      <c r="H12" s="1268">
        <v>442000</v>
      </c>
    </row>
    <row r="13" spans="1:8" s="1261" customFormat="1" ht="25.5" customHeight="1" x14ac:dyDescent="0.2">
      <c r="A13" s="1262" t="s">
        <v>207</v>
      </c>
      <c r="B13" s="1263"/>
      <c r="C13" s="1264"/>
      <c r="D13" s="1265"/>
      <c r="E13" s="1266"/>
      <c r="F13" s="1267"/>
      <c r="G13" s="1267"/>
      <c r="H13" s="1268"/>
    </row>
    <row r="14" spans="1:8" s="1261" customFormat="1" ht="20.100000000000001" customHeight="1" x14ac:dyDescent="0.2">
      <c r="A14" s="1262" t="s">
        <v>80</v>
      </c>
      <c r="B14" s="1263" t="s">
        <v>1357</v>
      </c>
      <c r="C14" s="1264">
        <v>2007</v>
      </c>
      <c r="D14" s="1265">
        <v>2027</v>
      </c>
      <c r="E14" s="1266">
        <v>486077</v>
      </c>
      <c r="F14" s="1267">
        <v>486077</v>
      </c>
      <c r="G14" s="1266">
        <v>486077</v>
      </c>
      <c r="H14" s="1267">
        <v>486077</v>
      </c>
    </row>
    <row r="15" spans="1:8" s="1261" customFormat="1" ht="20.100000000000001" customHeight="1" thickBot="1" x14ac:dyDescent="0.25">
      <c r="A15" s="1269" t="s">
        <v>81</v>
      </c>
      <c r="B15" s="1263" t="s">
        <v>1358</v>
      </c>
      <c r="C15" s="1264">
        <v>2008</v>
      </c>
      <c r="D15" s="1265">
        <v>2027</v>
      </c>
      <c r="E15" s="1266">
        <v>869859</v>
      </c>
      <c r="F15" s="1267">
        <v>817059</v>
      </c>
      <c r="G15" s="1267">
        <v>759059</v>
      </c>
      <c r="H15" s="1268">
        <v>700059</v>
      </c>
    </row>
    <row r="16" spans="1:8" s="1261" customFormat="1" ht="30.75" customHeight="1" thickBot="1" x14ac:dyDescent="0.25">
      <c r="A16" s="1270" t="s">
        <v>86</v>
      </c>
      <c r="B16" s="1263" t="s">
        <v>1244</v>
      </c>
      <c r="C16" s="1264" t="s">
        <v>1359</v>
      </c>
      <c r="D16" s="1265">
        <v>2028</v>
      </c>
      <c r="E16" s="1266">
        <v>81250</v>
      </c>
      <c r="F16" s="1267">
        <v>77250</v>
      </c>
      <c r="G16" s="1267">
        <v>73250</v>
      </c>
      <c r="H16" s="1268">
        <v>69250</v>
      </c>
    </row>
    <row r="17" spans="1:8" s="1261" customFormat="1" ht="20.100000000000001" customHeight="1" thickBot="1" x14ac:dyDescent="0.25">
      <c r="A17" s="1270" t="s">
        <v>99</v>
      </c>
      <c r="B17" s="1263"/>
      <c r="C17" s="1264"/>
      <c r="D17" s="1265"/>
      <c r="E17" s="1266"/>
      <c r="F17" s="1267"/>
      <c r="G17" s="1267"/>
      <c r="H17" s="1268"/>
    </row>
    <row r="18" spans="1:8" s="1278" customFormat="1" ht="20.100000000000001" customHeight="1" thickBot="1" x14ac:dyDescent="0.25">
      <c r="A18" s="1271" t="s">
        <v>100</v>
      </c>
      <c r="B18" s="1272" t="s">
        <v>1360</v>
      </c>
      <c r="C18" s="1273"/>
      <c r="D18" s="1274"/>
      <c r="E18" s="1275">
        <f>E5+E10</f>
        <v>2137186</v>
      </c>
      <c r="F18" s="1276">
        <f>F5+F10</f>
        <v>2071689</v>
      </c>
      <c r="G18" s="1276">
        <f>G5+G10</f>
        <v>1969108</v>
      </c>
      <c r="H18" s="1277">
        <f>H5+H10</f>
        <v>1865497</v>
      </c>
    </row>
    <row r="19" spans="1:8" ht="20.100000000000001" customHeight="1" x14ac:dyDescent="0.2"/>
  </sheetData>
  <mergeCells count="4">
    <mergeCell ref="A2:A3"/>
    <mergeCell ref="B2:B3"/>
    <mergeCell ref="C2:C3"/>
    <mergeCell ref="D2:D3"/>
  </mergeCells>
  <printOptions horizontalCentered="1"/>
  <pageMargins left="0.47244094488188981" right="0.27559055118110237" top="1.1811023622047245" bottom="0.98425196850393704" header="0.59055118110236227" footer="0.35433070866141736"/>
  <pageSetup paperSize="9" firstPageNumber="108" orientation="landscape" useFirstPageNumber="1" horizontalDpi="300" verticalDpi="300" r:id="rId1"/>
  <headerFooter alignWithMargins="0">
    <oddHeader>&amp;C&amp;"Times New Roman CE,Félkövér"&amp;12Vecsés Város Önkormányzatának nyújtott hitel és kölcsön alakulása
 lejárat és eszközök szerinti bontásban&amp;R&amp;"Times New Roman CE,Félkövér dőlt"&amp;11 14. számú melléklet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view="pageBreakPreview" topLeftCell="A34" zoomScaleNormal="50" zoomScaleSheetLayoutView="100" workbookViewId="0">
      <selection activeCell="E52" sqref="E52"/>
    </sheetView>
  </sheetViews>
  <sheetFormatPr defaultRowHeight="15" x14ac:dyDescent="0.2"/>
  <cols>
    <col min="1" max="1" width="67.83203125" style="1402" bestFit="1" customWidth="1"/>
    <col min="2" max="2" width="22.83203125" style="1402" hidden="1" customWidth="1"/>
    <col min="3" max="14" width="22.83203125" style="1402" customWidth="1"/>
    <col min="15" max="16384" width="9.33203125" style="1402"/>
  </cols>
  <sheetData>
    <row r="1" spans="1:16" ht="20.25" x14ac:dyDescent="0.2">
      <c r="A1" s="1541" t="s">
        <v>1975</v>
      </c>
      <c r="B1" s="1541"/>
      <c r="C1" s="1541"/>
      <c r="D1" s="1541"/>
      <c r="E1" s="1541"/>
      <c r="F1" s="1541"/>
      <c r="G1" s="1541"/>
      <c r="H1" s="1541"/>
      <c r="I1" s="1541"/>
      <c r="J1" s="1541"/>
      <c r="K1" s="1541"/>
      <c r="L1" s="1541"/>
      <c r="M1" s="1541"/>
      <c r="N1" s="1541"/>
    </row>
    <row r="2" spans="1:16" ht="21" customHeight="1" thickBot="1" x14ac:dyDescent="0.25">
      <c r="A2" s="1403"/>
      <c r="B2" s="1403"/>
      <c r="C2" s="1403"/>
      <c r="D2" s="1403"/>
      <c r="E2" s="1403"/>
      <c r="F2" s="1403"/>
      <c r="G2" s="1403"/>
      <c r="H2" s="1403"/>
      <c r="I2" s="1403"/>
      <c r="J2" s="1403"/>
      <c r="K2" s="1403"/>
      <c r="L2" s="1403"/>
      <c r="M2" s="1403"/>
      <c r="N2" s="1403"/>
    </row>
    <row r="3" spans="1:16" ht="116.25" customHeight="1" x14ac:dyDescent="0.2">
      <c r="A3" s="1542" t="s">
        <v>1743</v>
      </c>
      <c r="B3" s="1544" t="s">
        <v>1744</v>
      </c>
      <c r="C3" s="1546" t="s">
        <v>1745</v>
      </c>
      <c r="D3" s="1546" t="s">
        <v>1746</v>
      </c>
      <c r="E3" s="1542" t="s">
        <v>1679</v>
      </c>
      <c r="F3" s="1542" t="s">
        <v>1680</v>
      </c>
      <c r="G3" s="1404" t="s">
        <v>1747</v>
      </c>
      <c r="H3" s="1548" t="s">
        <v>1748</v>
      </c>
      <c r="I3" s="1549"/>
      <c r="J3" s="1548" t="s">
        <v>1749</v>
      </c>
      <c r="K3" s="1549"/>
      <c r="L3" s="1542" t="s">
        <v>808</v>
      </c>
      <c r="M3" s="1538" t="s">
        <v>1976</v>
      </c>
      <c r="N3" s="1539"/>
      <c r="O3" s="1405"/>
      <c r="P3" s="1405"/>
    </row>
    <row r="4" spans="1:16" ht="33" customHeight="1" thickBot="1" x14ac:dyDescent="0.25">
      <c r="A4" s="1543"/>
      <c r="B4" s="1545"/>
      <c r="C4" s="1547"/>
      <c r="D4" s="1547"/>
      <c r="E4" s="1543"/>
      <c r="F4" s="1543"/>
      <c r="G4" s="1406" t="s">
        <v>1696</v>
      </c>
      <c r="H4" s="1407" t="s">
        <v>1750</v>
      </c>
      <c r="I4" s="1408" t="s">
        <v>1751</v>
      </c>
      <c r="J4" s="1407" t="s">
        <v>1750</v>
      </c>
      <c r="K4" s="1408" t="s">
        <v>1751</v>
      </c>
      <c r="L4" s="1543"/>
      <c r="M4" s="1409" t="s">
        <v>202</v>
      </c>
      <c r="N4" s="1410" t="s">
        <v>1752</v>
      </c>
      <c r="O4" s="1405"/>
      <c r="P4" s="1405"/>
    </row>
    <row r="5" spans="1:16" ht="20.25" customHeight="1" x14ac:dyDescent="0.2">
      <c r="A5" s="1411" t="s">
        <v>1753</v>
      </c>
      <c r="B5" s="1412"/>
      <c r="C5" s="1413"/>
      <c r="D5" s="1413"/>
      <c r="E5" s="1414"/>
      <c r="F5" s="1414"/>
      <c r="G5" s="1414"/>
      <c r="H5" s="1414"/>
      <c r="I5" s="1414"/>
      <c r="J5" s="1414"/>
      <c r="K5" s="1414"/>
      <c r="L5" s="1414"/>
      <c r="M5" s="1413">
        <f>SUM(D5-E5-F5-G5-H5-I5-J5-K5-L5)</f>
        <v>0</v>
      </c>
      <c r="N5" s="1415"/>
      <c r="O5" s="1405"/>
      <c r="P5" s="1405"/>
    </row>
    <row r="6" spans="1:16" ht="20.25" customHeight="1" x14ac:dyDescent="0.2">
      <c r="A6" s="1416" t="s">
        <v>1754</v>
      </c>
      <c r="B6" s="1417"/>
      <c r="C6" s="1418"/>
      <c r="D6" s="1418"/>
      <c r="E6" s="1419"/>
      <c r="F6" s="1419"/>
      <c r="G6" s="1419"/>
      <c r="H6" s="1419"/>
      <c r="I6" s="1419"/>
      <c r="J6" s="1419"/>
      <c r="K6" s="1419"/>
      <c r="L6" s="1419"/>
      <c r="M6" s="1413">
        <f t="shared" ref="M6:M53" si="0">SUM(D6-E6-F6-G6-H6-I6-J6-K6-L6)</f>
        <v>0</v>
      </c>
      <c r="N6" s="1420"/>
      <c r="O6" s="1405"/>
      <c r="P6" s="1405"/>
    </row>
    <row r="7" spans="1:16" ht="20.25" customHeight="1" x14ac:dyDescent="0.2">
      <c r="A7" s="1416" t="s">
        <v>1755</v>
      </c>
      <c r="B7" s="1417"/>
      <c r="C7" s="1418">
        <f>SUM(C8:C13)</f>
        <v>137510</v>
      </c>
      <c r="D7" s="1418">
        <f t="shared" ref="D7:L7" si="1">SUM(D8:D13)</f>
        <v>137510</v>
      </c>
      <c r="E7" s="1418">
        <f t="shared" si="1"/>
        <v>0</v>
      </c>
      <c r="F7" s="1418">
        <f t="shared" si="1"/>
        <v>0</v>
      </c>
      <c r="G7" s="1418">
        <f t="shared" si="1"/>
        <v>0</v>
      </c>
      <c r="H7" s="1418">
        <f t="shared" si="1"/>
        <v>0</v>
      </c>
      <c r="I7" s="1418">
        <f t="shared" si="1"/>
        <v>0</v>
      </c>
      <c r="J7" s="1418">
        <f t="shared" si="1"/>
        <v>0</v>
      </c>
      <c r="K7" s="1418">
        <f t="shared" si="1"/>
        <v>0</v>
      </c>
      <c r="L7" s="1418">
        <f t="shared" si="1"/>
        <v>0</v>
      </c>
      <c r="M7" s="1421">
        <f t="shared" si="0"/>
        <v>137510</v>
      </c>
      <c r="N7" s="1420"/>
      <c r="O7" s="1405"/>
      <c r="P7" s="1405"/>
    </row>
    <row r="8" spans="1:16" ht="20.25" customHeight="1" x14ac:dyDescent="0.2">
      <c r="A8" s="1422" t="s">
        <v>1756</v>
      </c>
      <c r="B8" s="1417"/>
      <c r="C8" s="1423">
        <v>0</v>
      </c>
      <c r="D8" s="1423">
        <v>0</v>
      </c>
      <c r="E8" s="1419"/>
      <c r="F8" s="1419"/>
      <c r="G8" s="1419"/>
      <c r="H8" s="1419"/>
      <c r="I8" s="1419"/>
      <c r="J8" s="1419"/>
      <c r="K8" s="1419"/>
      <c r="L8" s="1419"/>
      <c r="M8" s="1413">
        <f t="shared" si="0"/>
        <v>0</v>
      </c>
      <c r="N8" s="1420"/>
      <c r="O8" s="1405"/>
      <c r="P8" s="1405"/>
    </row>
    <row r="9" spans="1:16" ht="20.25" customHeight="1" x14ac:dyDescent="0.2">
      <c r="A9" s="1422" t="s">
        <v>1757</v>
      </c>
      <c r="B9" s="1417"/>
      <c r="C9" s="1423">
        <v>55000</v>
      </c>
      <c r="D9" s="1423">
        <v>55000</v>
      </c>
      <c r="E9" s="1419"/>
      <c r="F9" s="1419"/>
      <c r="G9" s="1419"/>
      <c r="H9" s="1419"/>
      <c r="I9" s="1419"/>
      <c r="J9" s="1419"/>
      <c r="K9" s="1419"/>
      <c r="L9" s="1419"/>
      <c r="M9" s="1413">
        <f t="shared" si="0"/>
        <v>55000</v>
      </c>
      <c r="N9" s="1420"/>
      <c r="O9" s="1405"/>
      <c r="P9" s="1405" t="s">
        <v>1758</v>
      </c>
    </row>
    <row r="10" spans="1:16" ht="20.25" customHeight="1" x14ac:dyDescent="0.2">
      <c r="A10" s="1422" t="s">
        <v>1759</v>
      </c>
      <c r="B10" s="1417"/>
      <c r="C10" s="1423">
        <v>510</v>
      </c>
      <c r="D10" s="1423">
        <v>510</v>
      </c>
      <c r="E10" s="1419"/>
      <c r="F10" s="1419"/>
      <c r="G10" s="1419"/>
      <c r="H10" s="1419"/>
      <c r="I10" s="1419"/>
      <c r="J10" s="1419"/>
      <c r="K10" s="1419"/>
      <c r="L10" s="1419"/>
      <c r="M10" s="1413">
        <f t="shared" si="0"/>
        <v>510</v>
      </c>
      <c r="N10" s="1420"/>
      <c r="O10" s="1405"/>
      <c r="P10" s="1405"/>
    </row>
    <row r="11" spans="1:16" ht="20.25" customHeight="1" x14ac:dyDescent="0.2">
      <c r="A11" s="1422" t="s">
        <v>1760</v>
      </c>
      <c r="B11" s="1417"/>
      <c r="C11" s="1423">
        <v>50000</v>
      </c>
      <c r="D11" s="1423">
        <v>50000</v>
      </c>
      <c r="E11" s="1419"/>
      <c r="F11" s="1419"/>
      <c r="G11" s="1419"/>
      <c r="H11" s="1419"/>
      <c r="I11" s="1419"/>
      <c r="J11" s="1419"/>
      <c r="K11" s="1419"/>
      <c r="L11" s="1419"/>
      <c r="M11" s="1413">
        <f t="shared" si="0"/>
        <v>50000</v>
      </c>
      <c r="N11" s="1420"/>
      <c r="O11" s="1405"/>
      <c r="P11" s="1405"/>
    </row>
    <row r="12" spans="1:16" ht="20.25" customHeight="1" x14ac:dyDescent="0.2">
      <c r="A12" s="1422" t="s">
        <v>1761</v>
      </c>
      <c r="B12" s="1417"/>
      <c r="C12" s="1423">
        <v>32000</v>
      </c>
      <c r="D12" s="1423">
        <v>32000</v>
      </c>
      <c r="E12" s="1419"/>
      <c r="F12" s="1419"/>
      <c r="G12" s="1419"/>
      <c r="H12" s="1419"/>
      <c r="I12" s="1419"/>
      <c r="J12" s="1419"/>
      <c r="K12" s="1419"/>
      <c r="L12" s="1419"/>
      <c r="M12" s="1413">
        <f t="shared" si="0"/>
        <v>32000</v>
      </c>
      <c r="N12" s="1420"/>
      <c r="O12" s="1405"/>
      <c r="P12" s="1405"/>
    </row>
    <row r="13" spans="1:16" ht="20.25" customHeight="1" x14ac:dyDescent="0.2">
      <c r="A13" s="1422" t="s">
        <v>1762</v>
      </c>
      <c r="B13" s="1417"/>
      <c r="C13" s="1423">
        <v>0</v>
      </c>
      <c r="D13" s="1423">
        <v>0</v>
      </c>
      <c r="E13" s="1419"/>
      <c r="F13" s="1419"/>
      <c r="G13" s="1419"/>
      <c r="H13" s="1419"/>
      <c r="I13" s="1419"/>
      <c r="J13" s="1419"/>
      <c r="K13" s="1419"/>
      <c r="L13" s="1419"/>
      <c r="M13" s="1413">
        <f t="shared" si="0"/>
        <v>0</v>
      </c>
      <c r="N13" s="1420"/>
      <c r="O13" s="1405"/>
      <c r="P13" s="1405"/>
    </row>
    <row r="14" spans="1:16" ht="33.75" customHeight="1" x14ac:dyDescent="0.2">
      <c r="A14" s="1424" t="s">
        <v>1763</v>
      </c>
      <c r="B14" s="1417"/>
      <c r="C14" s="1423">
        <v>0</v>
      </c>
      <c r="D14" s="1423">
        <v>0</v>
      </c>
      <c r="E14" s="1419"/>
      <c r="F14" s="1419"/>
      <c r="G14" s="1419"/>
      <c r="H14" s="1419"/>
      <c r="I14" s="1419"/>
      <c r="J14" s="1419"/>
      <c r="K14" s="1419"/>
      <c r="L14" s="1419"/>
      <c r="M14" s="1413">
        <f t="shared" si="0"/>
        <v>0</v>
      </c>
      <c r="N14" s="1420"/>
      <c r="O14" s="1405"/>
      <c r="P14" s="1405"/>
    </row>
    <row r="15" spans="1:16" ht="20.25" customHeight="1" x14ac:dyDescent="0.2">
      <c r="A15" s="1416" t="s">
        <v>1764</v>
      </c>
      <c r="B15" s="1417"/>
      <c r="C15" s="1423">
        <v>143962</v>
      </c>
      <c r="D15" s="1423">
        <v>143962</v>
      </c>
      <c r="E15" s="1419"/>
      <c r="F15" s="1419"/>
      <c r="G15" s="1419">
        <v>6660</v>
      </c>
      <c r="H15" s="1419">
        <v>62488</v>
      </c>
      <c r="I15" s="1419"/>
      <c r="J15" s="1419"/>
      <c r="K15" s="1419"/>
      <c r="L15" s="1419"/>
      <c r="M15" s="1413">
        <f t="shared" si="0"/>
        <v>74814</v>
      </c>
      <c r="N15" s="1420"/>
      <c r="O15" s="1405"/>
      <c r="P15" s="1405"/>
    </row>
    <row r="16" spans="1:16" ht="20.25" customHeight="1" x14ac:dyDescent="0.2">
      <c r="A16" s="1416" t="s">
        <v>1765</v>
      </c>
      <c r="B16" s="1417"/>
      <c r="C16" s="1423">
        <v>0</v>
      </c>
      <c r="D16" s="1423">
        <v>0</v>
      </c>
      <c r="E16" s="1419"/>
      <c r="F16" s="1419"/>
      <c r="G16" s="1419"/>
      <c r="H16" s="1419"/>
      <c r="I16" s="1419"/>
      <c r="J16" s="1419"/>
      <c r="K16" s="1419"/>
      <c r="L16" s="1419"/>
      <c r="M16" s="1413">
        <f t="shared" si="0"/>
        <v>0</v>
      </c>
      <c r="N16" s="1420"/>
      <c r="O16" s="1405"/>
      <c r="P16" s="1405"/>
    </row>
    <row r="17" spans="1:16" ht="20.25" customHeight="1" x14ac:dyDescent="0.2">
      <c r="A17" s="1416" t="s">
        <v>1766</v>
      </c>
      <c r="B17" s="1417"/>
      <c r="C17" s="1418">
        <f>SUM(C18:C20)</f>
        <v>91758</v>
      </c>
      <c r="D17" s="1418">
        <f t="shared" ref="D17:L17" si="2">SUM(D18:D20)</f>
        <v>91758</v>
      </c>
      <c r="E17" s="1418">
        <f t="shared" si="2"/>
        <v>6401</v>
      </c>
      <c r="F17" s="1418">
        <f t="shared" si="2"/>
        <v>0</v>
      </c>
      <c r="G17" s="1418">
        <f t="shared" si="2"/>
        <v>0</v>
      </c>
      <c r="H17" s="1418">
        <f t="shared" si="2"/>
        <v>0</v>
      </c>
      <c r="I17" s="1418">
        <f t="shared" si="2"/>
        <v>0</v>
      </c>
      <c r="J17" s="1418">
        <f t="shared" si="2"/>
        <v>0</v>
      </c>
      <c r="K17" s="1418">
        <f t="shared" si="2"/>
        <v>0</v>
      </c>
      <c r="L17" s="1418">
        <f t="shared" si="2"/>
        <v>0</v>
      </c>
      <c r="M17" s="1421">
        <f t="shared" si="0"/>
        <v>85357</v>
      </c>
      <c r="N17" s="1420"/>
      <c r="O17" s="1405"/>
      <c r="P17" s="1405"/>
    </row>
    <row r="18" spans="1:16" ht="20.25" customHeight="1" x14ac:dyDescent="0.2">
      <c r="A18" s="1422" t="s">
        <v>1767</v>
      </c>
      <c r="B18" s="1417"/>
      <c r="C18" s="1423">
        <v>74549</v>
      </c>
      <c r="D18" s="1423">
        <v>74549</v>
      </c>
      <c r="E18" s="1419">
        <v>5201</v>
      </c>
      <c r="F18" s="1419"/>
      <c r="G18" s="1419"/>
      <c r="H18" s="1419"/>
      <c r="I18" s="1419"/>
      <c r="J18" s="1419"/>
      <c r="K18" s="1419"/>
      <c r="L18" s="1419"/>
      <c r="M18" s="1413">
        <f t="shared" si="0"/>
        <v>69348</v>
      </c>
      <c r="N18" s="1420"/>
      <c r="O18" s="1405"/>
      <c r="P18" s="1405"/>
    </row>
    <row r="19" spans="1:16" ht="20.25" customHeight="1" x14ac:dyDescent="0.2">
      <c r="A19" s="1422" t="s">
        <v>1768</v>
      </c>
      <c r="B19" s="1417"/>
      <c r="C19" s="1423">
        <v>15240</v>
      </c>
      <c r="D19" s="1423">
        <v>15240</v>
      </c>
      <c r="E19" s="1419">
        <v>1063</v>
      </c>
      <c r="F19" s="1419"/>
      <c r="G19" s="1419"/>
      <c r="H19" s="1419"/>
      <c r="I19" s="1419"/>
      <c r="J19" s="1419"/>
      <c r="K19" s="1419"/>
      <c r="L19" s="1419"/>
      <c r="M19" s="1413">
        <f t="shared" si="0"/>
        <v>14177</v>
      </c>
      <c r="N19" s="1420"/>
      <c r="O19" s="1405"/>
      <c r="P19" s="1405"/>
    </row>
    <row r="20" spans="1:16" ht="20.25" customHeight="1" x14ac:dyDescent="0.2">
      <c r="A20" s="1422" t="s">
        <v>1769</v>
      </c>
      <c r="B20" s="1417"/>
      <c r="C20" s="1423">
        <v>1969</v>
      </c>
      <c r="D20" s="1423">
        <v>1969</v>
      </c>
      <c r="E20" s="1419">
        <v>137</v>
      </c>
      <c r="F20" s="1419"/>
      <c r="G20" s="1419"/>
      <c r="H20" s="1419"/>
      <c r="I20" s="1419"/>
      <c r="J20" s="1419"/>
      <c r="K20" s="1419"/>
      <c r="L20" s="1419"/>
      <c r="M20" s="1413">
        <f t="shared" si="0"/>
        <v>1832</v>
      </c>
      <c r="N20" s="1420"/>
      <c r="O20" s="1405"/>
      <c r="P20" s="1405"/>
    </row>
    <row r="21" spans="1:16" ht="20.25" customHeight="1" x14ac:dyDescent="0.2">
      <c r="A21" s="1416" t="s">
        <v>1770</v>
      </c>
      <c r="B21" s="1417"/>
      <c r="C21" s="1423">
        <v>266641</v>
      </c>
      <c r="D21" s="1423">
        <v>266641</v>
      </c>
      <c r="E21" s="1419">
        <v>249536</v>
      </c>
      <c r="F21" s="1419"/>
      <c r="G21" s="1419"/>
      <c r="H21" s="1419"/>
      <c r="I21" s="1419"/>
      <c r="J21" s="1419"/>
      <c r="K21" s="1419"/>
      <c r="L21" s="1419"/>
      <c r="M21" s="1413">
        <f t="shared" si="0"/>
        <v>17105</v>
      </c>
      <c r="N21" s="1420"/>
      <c r="O21" s="1405"/>
      <c r="P21" s="1405"/>
    </row>
    <row r="22" spans="1:16" s="1429" customFormat="1" ht="20.25" customHeight="1" x14ac:dyDescent="0.2">
      <c r="A22" s="1416" t="s">
        <v>1771</v>
      </c>
      <c r="B22" s="1425"/>
      <c r="C22" s="1418">
        <f>SUM(C23:C26)</f>
        <v>129328</v>
      </c>
      <c r="D22" s="1418">
        <f>SUM(D23:D26)</f>
        <v>129328</v>
      </c>
      <c r="E22" s="1426">
        <f>SUM(E23:E26)</f>
        <v>23226</v>
      </c>
      <c r="F22" s="1426">
        <f t="shared" ref="F22:L22" si="3">SUM(F23:F26)</f>
        <v>0</v>
      </c>
      <c r="G22" s="1426">
        <f t="shared" si="3"/>
        <v>10718</v>
      </c>
      <c r="H22" s="1426">
        <f t="shared" si="3"/>
        <v>0</v>
      </c>
      <c r="I22" s="1426">
        <f t="shared" si="3"/>
        <v>0</v>
      </c>
      <c r="J22" s="1426">
        <f t="shared" si="3"/>
        <v>0</v>
      </c>
      <c r="K22" s="1426">
        <f t="shared" si="3"/>
        <v>0</v>
      </c>
      <c r="L22" s="1426">
        <f t="shared" si="3"/>
        <v>0</v>
      </c>
      <c r="M22" s="1421">
        <f t="shared" si="0"/>
        <v>95384</v>
      </c>
      <c r="N22" s="1427"/>
      <c r="O22" s="1428"/>
      <c r="P22" s="1428"/>
    </row>
    <row r="23" spans="1:16" ht="20.25" customHeight="1" x14ac:dyDescent="0.2">
      <c r="A23" s="1422" t="s">
        <v>1772</v>
      </c>
      <c r="B23" s="1417"/>
      <c r="C23" s="1423">
        <v>31724</v>
      </c>
      <c r="D23" s="1423">
        <v>31724</v>
      </c>
      <c r="E23" s="1419">
        <v>11613</v>
      </c>
      <c r="F23" s="1419"/>
      <c r="G23" s="1419">
        <v>685</v>
      </c>
      <c r="H23" s="1419"/>
      <c r="I23" s="1419"/>
      <c r="J23" s="1419"/>
      <c r="K23" s="1419"/>
      <c r="L23" s="1419"/>
      <c r="M23" s="1413">
        <f t="shared" si="0"/>
        <v>19426</v>
      </c>
      <c r="N23" s="1420"/>
      <c r="O23" s="1405"/>
      <c r="P23" s="1405"/>
    </row>
    <row r="24" spans="1:16" ht="20.25" customHeight="1" x14ac:dyDescent="0.2">
      <c r="A24" s="1422" t="s">
        <v>1773</v>
      </c>
      <c r="B24" s="1417"/>
      <c r="C24" s="1423">
        <v>0</v>
      </c>
      <c r="D24" s="1423">
        <v>0</v>
      </c>
      <c r="E24" s="1419"/>
      <c r="F24" s="1419"/>
      <c r="G24" s="1419"/>
      <c r="H24" s="1419"/>
      <c r="I24" s="1419"/>
      <c r="J24" s="1419"/>
      <c r="K24" s="1419"/>
      <c r="L24" s="1419"/>
      <c r="M24" s="1413">
        <f t="shared" si="0"/>
        <v>0</v>
      </c>
      <c r="N24" s="1420"/>
      <c r="O24" s="1405"/>
      <c r="P24" s="1405"/>
    </row>
    <row r="25" spans="1:16" ht="20.25" customHeight="1" x14ac:dyDescent="0.2">
      <c r="A25" s="1422" t="s">
        <v>1774</v>
      </c>
      <c r="B25" s="1417"/>
      <c r="C25" s="1423">
        <v>0</v>
      </c>
      <c r="D25" s="1423">
        <v>0</v>
      </c>
      <c r="E25" s="1419"/>
      <c r="F25" s="1419"/>
      <c r="G25" s="1419"/>
      <c r="H25" s="1419"/>
      <c r="I25" s="1419"/>
      <c r="J25" s="1419"/>
      <c r="K25" s="1419"/>
      <c r="L25" s="1419"/>
      <c r="M25" s="1413">
        <f t="shared" si="0"/>
        <v>0</v>
      </c>
      <c r="N25" s="1420"/>
      <c r="O25" s="1405"/>
      <c r="P25" s="1405"/>
    </row>
    <row r="26" spans="1:16" ht="20.25" customHeight="1" x14ac:dyDescent="0.2">
      <c r="A26" s="1422" t="s">
        <v>1775</v>
      </c>
      <c r="B26" s="1417"/>
      <c r="C26" s="1423">
        <v>97604</v>
      </c>
      <c r="D26" s="1423">
        <v>97604</v>
      </c>
      <c r="E26" s="1419">
        <v>11613</v>
      </c>
      <c r="F26" s="1419"/>
      <c r="G26" s="1419">
        <v>10033</v>
      </c>
      <c r="H26" s="1419"/>
      <c r="I26" s="1419"/>
      <c r="J26" s="1419"/>
      <c r="K26" s="1419"/>
      <c r="L26" s="1419"/>
      <c r="M26" s="1413">
        <f t="shared" si="0"/>
        <v>75958</v>
      </c>
      <c r="N26" s="1420"/>
      <c r="O26" s="1405"/>
      <c r="P26" s="1405"/>
    </row>
    <row r="27" spans="1:16" ht="20.25" customHeight="1" x14ac:dyDescent="0.2">
      <c r="A27" s="1416" t="s">
        <v>1776</v>
      </c>
      <c r="B27" s="1417"/>
      <c r="C27" s="1418">
        <f t="shared" ref="C27:D27" si="4">SUM(C28:C32)</f>
        <v>469456</v>
      </c>
      <c r="D27" s="1418">
        <f t="shared" si="4"/>
        <v>469456</v>
      </c>
      <c r="E27" s="1418">
        <f>SUM(E28:E32)</f>
        <v>169540</v>
      </c>
      <c r="F27" s="1418">
        <f t="shared" ref="F27:L27" si="5">SUM(F28:F32)</f>
        <v>0</v>
      </c>
      <c r="G27" s="1418">
        <f t="shared" si="5"/>
        <v>208275</v>
      </c>
      <c r="H27" s="1418">
        <f t="shared" si="5"/>
        <v>5248</v>
      </c>
      <c r="I27" s="1418">
        <f t="shared" si="5"/>
        <v>0</v>
      </c>
      <c r="J27" s="1418">
        <f t="shared" si="5"/>
        <v>0</v>
      </c>
      <c r="K27" s="1418">
        <f t="shared" si="5"/>
        <v>0</v>
      </c>
      <c r="L27" s="1418">
        <f t="shared" si="5"/>
        <v>0</v>
      </c>
      <c r="M27" s="1421">
        <f t="shared" si="0"/>
        <v>86393</v>
      </c>
      <c r="N27" s="1427"/>
      <c r="O27" s="1405"/>
      <c r="P27" s="1405"/>
    </row>
    <row r="28" spans="1:16" ht="20.25" customHeight="1" x14ac:dyDescent="0.2">
      <c r="A28" s="1430" t="s">
        <v>1834</v>
      </c>
      <c r="B28" s="1417"/>
      <c r="C28" s="1423">
        <v>57643</v>
      </c>
      <c r="D28" s="1423">
        <v>57643</v>
      </c>
      <c r="E28" s="1419">
        <v>23819</v>
      </c>
      <c r="F28" s="1419"/>
      <c r="G28" s="1419">
        <v>6917</v>
      </c>
      <c r="H28" s="1419"/>
      <c r="I28" s="1419"/>
      <c r="J28" s="1419"/>
      <c r="K28" s="1419"/>
      <c r="L28" s="1419"/>
      <c r="M28" s="1413">
        <f t="shared" si="0"/>
        <v>26907</v>
      </c>
      <c r="N28" s="1420"/>
      <c r="O28" s="1405"/>
      <c r="P28" s="1405"/>
    </row>
    <row r="29" spans="1:16" ht="20.25" customHeight="1" x14ac:dyDescent="0.2">
      <c r="A29" s="1430" t="s">
        <v>1835</v>
      </c>
      <c r="B29" s="1417"/>
      <c r="C29" s="1423">
        <v>42273</v>
      </c>
      <c r="D29" s="1423">
        <v>42273</v>
      </c>
      <c r="E29" s="1419">
        <v>12768</v>
      </c>
      <c r="F29" s="1419"/>
      <c r="G29" s="1419">
        <v>4119</v>
      </c>
      <c r="H29" s="1419">
        <v>2324</v>
      </c>
      <c r="I29" s="1419"/>
      <c r="J29" s="1419"/>
      <c r="K29" s="1419"/>
      <c r="L29" s="1419"/>
      <c r="M29" s="1413">
        <f t="shared" si="0"/>
        <v>23062</v>
      </c>
      <c r="N29" s="1420"/>
      <c r="O29" s="1405"/>
      <c r="P29" s="1405"/>
    </row>
    <row r="30" spans="1:16" ht="20.25" customHeight="1" x14ac:dyDescent="0.2">
      <c r="A30" s="1430" t="s">
        <v>1836</v>
      </c>
      <c r="B30" s="1417"/>
      <c r="C30" s="1423">
        <v>93703</v>
      </c>
      <c r="D30" s="1423">
        <v>93703</v>
      </c>
      <c r="E30" s="1419">
        <v>72597</v>
      </c>
      <c r="F30" s="1419"/>
      <c r="G30" s="1419"/>
      <c r="H30" s="1419">
        <v>2924</v>
      </c>
      <c r="I30" s="1419"/>
      <c r="J30" s="1419"/>
      <c r="K30" s="1419"/>
      <c r="L30" s="1419"/>
      <c r="M30" s="1413">
        <f t="shared" si="0"/>
        <v>18182</v>
      </c>
      <c r="N30" s="1420"/>
      <c r="O30" s="1405"/>
      <c r="P30" s="1405"/>
    </row>
    <row r="31" spans="1:16" ht="20.25" customHeight="1" x14ac:dyDescent="0.2">
      <c r="A31" s="1430" t="s">
        <v>1837</v>
      </c>
      <c r="B31" s="1417"/>
      <c r="C31" s="1423">
        <v>258837</v>
      </c>
      <c r="D31" s="1423">
        <v>258837</v>
      </c>
      <c r="E31" s="1419">
        <v>45331</v>
      </c>
      <c r="F31" s="1419"/>
      <c r="G31" s="1419">
        <v>197239</v>
      </c>
      <c r="H31" s="1419"/>
      <c r="I31" s="1419"/>
      <c r="J31" s="1419"/>
      <c r="K31" s="1419"/>
      <c r="L31" s="1419"/>
      <c r="M31" s="1413">
        <f t="shared" si="0"/>
        <v>16267</v>
      </c>
      <c r="N31" s="1420"/>
      <c r="O31" s="1405"/>
      <c r="P31" s="1405"/>
    </row>
    <row r="32" spans="1:16" ht="20.25" customHeight="1" x14ac:dyDescent="0.2">
      <c r="A32" s="1430" t="s">
        <v>1839</v>
      </c>
      <c r="B32" s="1417"/>
      <c r="C32" s="1423">
        <v>17000</v>
      </c>
      <c r="D32" s="1423">
        <v>17000</v>
      </c>
      <c r="E32" s="1419">
        <v>15025</v>
      </c>
      <c r="F32" s="1419"/>
      <c r="G32" s="1419"/>
      <c r="H32" s="1419"/>
      <c r="I32" s="1419"/>
      <c r="J32" s="1419"/>
      <c r="K32" s="1419"/>
      <c r="L32" s="1419"/>
      <c r="M32" s="1413">
        <f t="shared" si="0"/>
        <v>1975</v>
      </c>
      <c r="N32" s="1420"/>
      <c r="O32" s="1405"/>
      <c r="P32" s="1405"/>
    </row>
    <row r="33" spans="1:16" ht="20.25" customHeight="1" x14ac:dyDescent="0.2">
      <c r="A33" s="1416" t="s">
        <v>1777</v>
      </c>
      <c r="B33" s="1417"/>
      <c r="C33" s="1423">
        <v>15955</v>
      </c>
      <c r="D33" s="1423">
        <v>15955</v>
      </c>
      <c r="E33" s="1419"/>
      <c r="F33" s="1419"/>
      <c r="G33" s="1419">
        <v>10541</v>
      </c>
      <c r="H33" s="1419"/>
      <c r="I33" s="1419"/>
      <c r="J33" s="1419"/>
      <c r="K33" s="1419"/>
      <c r="L33" s="1419"/>
      <c r="M33" s="1413">
        <f t="shared" si="0"/>
        <v>5414</v>
      </c>
      <c r="N33" s="1420"/>
      <c r="O33" s="1405"/>
      <c r="P33" s="1405"/>
    </row>
    <row r="34" spans="1:16" ht="30" customHeight="1" x14ac:dyDescent="0.2">
      <c r="A34" s="1424" t="s">
        <v>1838</v>
      </c>
      <c r="B34" s="1417"/>
      <c r="C34" s="1423">
        <v>2000</v>
      </c>
      <c r="D34" s="1423">
        <v>2000</v>
      </c>
      <c r="E34" s="1419"/>
      <c r="F34" s="1419"/>
      <c r="G34" s="1419"/>
      <c r="H34" s="1419"/>
      <c r="I34" s="1419"/>
      <c r="J34" s="1419"/>
      <c r="K34" s="1419"/>
      <c r="L34" s="1419"/>
      <c r="M34" s="1413">
        <f t="shared" si="0"/>
        <v>2000</v>
      </c>
      <c r="N34" s="1420"/>
      <c r="O34" s="1405"/>
      <c r="P34" s="1405"/>
    </row>
    <row r="35" spans="1:16" ht="20.25" customHeight="1" x14ac:dyDescent="0.2">
      <c r="A35" s="1416" t="s">
        <v>1778</v>
      </c>
      <c r="B35" s="1417"/>
      <c r="C35" s="1423">
        <v>5300</v>
      </c>
      <c r="D35" s="1423">
        <v>5300</v>
      </c>
      <c r="E35" s="1419">
        <v>370</v>
      </c>
      <c r="F35" s="1419"/>
      <c r="G35" s="1419"/>
      <c r="H35" s="1419"/>
      <c r="I35" s="1419"/>
      <c r="J35" s="1419"/>
      <c r="K35" s="1419"/>
      <c r="L35" s="1419"/>
      <c r="M35" s="1413">
        <f t="shared" si="0"/>
        <v>4930</v>
      </c>
      <c r="N35" s="1420"/>
      <c r="O35" s="1405"/>
      <c r="P35" s="1405"/>
    </row>
    <row r="36" spans="1:16" ht="20.25" customHeight="1" x14ac:dyDescent="0.2">
      <c r="A36" s="1416" t="s">
        <v>1779</v>
      </c>
      <c r="B36" s="1417"/>
      <c r="C36" s="1423">
        <v>0</v>
      </c>
      <c r="D36" s="1423">
        <v>0</v>
      </c>
      <c r="E36" s="1419"/>
      <c r="F36" s="1419"/>
      <c r="G36" s="1419"/>
      <c r="H36" s="1419"/>
      <c r="I36" s="1419"/>
      <c r="J36" s="1419"/>
      <c r="K36" s="1419"/>
      <c r="L36" s="1419"/>
      <c r="M36" s="1413">
        <f t="shared" si="0"/>
        <v>0</v>
      </c>
      <c r="N36" s="1420"/>
      <c r="O36" s="1405"/>
      <c r="P36" s="1405"/>
    </row>
    <row r="37" spans="1:16" ht="20.25" customHeight="1" x14ac:dyDescent="0.2">
      <c r="A37" s="1416" t="s">
        <v>1780</v>
      </c>
      <c r="B37" s="1417"/>
      <c r="C37" s="1423">
        <v>24073</v>
      </c>
      <c r="D37" s="1423">
        <v>24073</v>
      </c>
      <c r="E37" s="1419">
        <v>1680</v>
      </c>
      <c r="F37" s="1419"/>
      <c r="G37" s="1419"/>
      <c r="H37" s="1419"/>
      <c r="I37" s="1419"/>
      <c r="J37" s="1419"/>
      <c r="K37" s="1419"/>
      <c r="L37" s="1419"/>
      <c r="M37" s="1413">
        <f t="shared" si="0"/>
        <v>22393</v>
      </c>
      <c r="N37" s="1420"/>
      <c r="O37" s="1405"/>
      <c r="P37" s="1405"/>
    </row>
    <row r="38" spans="1:16" ht="20.25" customHeight="1" x14ac:dyDescent="0.2">
      <c r="A38" s="1416" t="s">
        <v>1781</v>
      </c>
      <c r="B38" s="1417"/>
      <c r="C38" s="1423">
        <v>0</v>
      </c>
      <c r="D38" s="1423">
        <v>0</v>
      </c>
      <c r="E38" s="1419"/>
      <c r="F38" s="1419"/>
      <c r="G38" s="1419"/>
      <c r="H38" s="1419"/>
      <c r="I38" s="1419"/>
      <c r="J38" s="1419"/>
      <c r="K38" s="1419"/>
      <c r="L38" s="1419"/>
      <c r="M38" s="1413">
        <f t="shared" si="0"/>
        <v>0</v>
      </c>
      <c r="N38" s="1420"/>
      <c r="O38" s="1405"/>
      <c r="P38" s="1405"/>
    </row>
    <row r="39" spans="1:16" ht="20.25" customHeight="1" x14ac:dyDescent="0.2">
      <c r="A39" s="1416" t="s">
        <v>1782</v>
      </c>
      <c r="B39" s="1417"/>
      <c r="C39" s="1423">
        <v>1000</v>
      </c>
      <c r="D39" s="1423">
        <v>1000</v>
      </c>
      <c r="E39" s="1419"/>
      <c r="F39" s="1419"/>
      <c r="G39" s="1419"/>
      <c r="H39" s="1419"/>
      <c r="I39" s="1419"/>
      <c r="J39" s="1419"/>
      <c r="K39" s="1419"/>
      <c r="L39" s="1419"/>
      <c r="M39" s="1413">
        <f t="shared" si="0"/>
        <v>1000</v>
      </c>
      <c r="N39" s="1420"/>
      <c r="O39" s="1405"/>
      <c r="P39" s="1405"/>
    </row>
    <row r="40" spans="1:16" ht="20.25" customHeight="1" x14ac:dyDescent="0.2">
      <c r="A40" s="1416" t="s">
        <v>1783</v>
      </c>
      <c r="B40" s="1417"/>
      <c r="C40" s="1423">
        <v>1000</v>
      </c>
      <c r="D40" s="1423">
        <v>1000</v>
      </c>
      <c r="E40" s="1419"/>
      <c r="F40" s="1419"/>
      <c r="G40" s="1419"/>
      <c r="H40" s="1419"/>
      <c r="I40" s="1419"/>
      <c r="J40" s="1419"/>
      <c r="K40" s="1419"/>
      <c r="L40" s="1419"/>
      <c r="M40" s="1413">
        <f t="shared" si="0"/>
        <v>1000</v>
      </c>
      <c r="N40" s="1420"/>
      <c r="O40" s="1405"/>
      <c r="P40" s="1405"/>
    </row>
    <row r="41" spans="1:16" ht="20.25" customHeight="1" x14ac:dyDescent="0.2">
      <c r="A41" s="1416" t="s">
        <v>1784</v>
      </c>
      <c r="B41" s="1417"/>
      <c r="C41" s="1423">
        <v>11965</v>
      </c>
      <c r="D41" s="1423">
        <v>11965</v>
      </c>
      <c r="E41" s="1419"/>
      <c r="F41" s="1419"/>
      <c r="G41" s="1419"/>
      <c r="H41" s="1419"/>
      <c r="I41" s="1419"/>
      <c r="J41" s="1419"/>
      <c r="K41" s="1419"/>
      <c r="L41" s="1419"/>
      <c r="M41" s="1413">
        <f t="shared" si="0"/>
        <v>11965</v>
      </c>
      <c r="N41" s="1420"/>
      <c r="O41" s="1405"/>
      <c r="P41" s="1405"/>
    </row>
    <row r="42" spans="1:16" ht="31.5" customHeight="1" x14ac:dyDescent="0.2">
      <c r="A42" s="1424" t="s">
        <v>1785</v>
      </c>
      <c r="B42" s="1431"/>
      <c r="C42" s="1432">
        <v>8804</v>
      </c>
      <c r="D42" s="1432">
        <v>8804</v>
      </c>
      <c r="E42" s="1433"/>
      <c r="F42" s="1433">
        <v>8804</v>
      </c>
      <c r="G42" s="1433"/>
      <c r="H42" s="1433"/>
      <c r="I42" s="1433"/>
      <c r="J42" s="1433"/>
      <c r="K42" s="1433"/>
      <c r="L42" s="1433"/>
      <c r="M42" s="1413">
        <f t="shared" si="0"/>
        <v>0</v>
      </c>
      <c r="N42" s="1434"/>
    </row>
    <row r="43" spans="1:16" ht="30" customHeight="1" x14ac:dyDescent="0.2">
      <c r="A43" s="1424" t="s">
        <v>1786</v>
      </c>
      <c r="B43" s="1431"/>
      <c r="C43" s="1432">
        <v>9000</v>
      </c>
      <c r="D43" s="1432">
        <v>9000</v>
      </c>
      <c r="E43" s="1433"/>
      <c r="F43" s="1433"/>
      <c r="G43" s="1433">
        <v>9000</v>
      </c>
      <c r="H43" s="1433"/>
      <c r="I43" s="1433"/>
      <c r="J43" s="1433"/>
      <c r="K43" s="1433"/>
      <c r="L43" s="1433"/>
      <c r="M43" s="1413">
        <f t="shared" si="0"/>
        <v>0</v>
      </c>
      <c r="N43" s="1434"/>
    </row>
    <row r="44" spans="1:16" ht="20.25" customHeight="1" x14ac:dyDescent="0.2">
      <c r="A44" s="1416" t="s">
        <v>1787</v>
      </c>
      <c r="B44" s="1431"/>
      <c r="C44" s="1432">
        <v>17171</v>
      </c>
      <c r="D44" s="1432">
        <v>17171</v>
      </c>
      <c r="E44" s="1433"/>
      <c r="F44" s="1433"/>
      <c r="G44" s="1433"/>
      <c r="H44" s="1433"/>
      <c r="I44" s="1433"/>
      <c r="J44" s="1433"/>
      <c r="K44" s="1433"/>
      <c r="L44" s="1433"/>
      <c r="M44" s="1413">
        <f t="shared" si="0"/>
        <v>17171</v>
      </c>
      <c r="N44" s="1434"/>
    </row>
    <row r="45" spans="1:16" ht="20.25" customHeight="1" x14ac:dyDescent="0.2">
      <c r="A45" s="1416" t="s">
        <v>1788</v>
      </c>
      <c r="B45" s="1431"/>
      <c r="C45" s="1432">
        <v>2565</v>
      </c>
      <c r="D45" s="1432">
        <v>2565</v>
      </c>
      <c r="E45" s="1433"/>
      <c r="F45" s="1433"/>
      <c r="G45" s="1433"/>
      <c r="H45" s="1433"/>
      <c r="I45" s="1433"/>
      <c r="J45" s="1433"/>
      <c r="K45" s="1433"/>
      <c r="L45" s="1433"/>
      <c r="M45" s="1413">
        <f t="shared" si="0"/>
        <v>2565</v>
      </c>
      <c r="N45" s="1434"/>
    </row>
    <row r="46" spans="1:16" ht="20.25" customHeight="1" x14ac:dyDescent="0.2">
      <c r="A46" s="1416" t="s">
        <v>1789</v>
      </c>
      <c r="B46" s="1431"/>
      <c r="C46" s="1432">
        <v>33397</v>
      </c>
      <c r="D46" s="1432">
        <v>33397</v>
      </c>
      <c r="E46" s="1433">
        <v>2330</v>
      </c>
      <c r="F46" s="1433"/>
      <c r="G46" s="1433"/>
      <c r="H46" s="1433"/>
      <c r="I46" s="1433"/>
      <c r="J46" s="1433"/>
      <c r="K46" s="1433"/>
      <c r="L46" s="1433"/>
      <c r="M46" s="1413">
        <f t="shared" si="0"/>
        <v>31067</v>
      </c>
      <c r="N46" s="1434"/>
    </row>
    <row r="47" spans="1:16" ht="20.25" customHeight="1" x14ac:dyDescent="0.2">
      <c r="A47" s="1416" t="s">
        <v>1790</v>
      </c>
      <c r="B47" s="1431"/>
      <c r="C47" s="1432">
        <v>8000</v>
      </c>
      <c r="D47" s="1432">
        <v>8000</v>
      </c>
      <c r="E47" s="1433">
        <v>558</v>
      </c>
      <c r="F47" s="1433"/>
      <c r="G47" s="1433"/>
      <c r="H47" s="1433"/>
      <c r="I47" s="1433"/>
      <c r="J47" s="1433"/>
      <c r="K47" s="1433"/>
      <c r="L47" s="1433"/>
      <c r="M47" s="1413">
        <f t="shared" si="0"/>
        <v>7442</v>
      </c>
      <c r="N47" s="1434"/>
    </row>
    <row r="48" spans="1:16" ht="20.25" customHeight="1" x14ac:dyDescent="0.2">
      <c r="A48" s="1416" t="s">
        <v>1791</v>
      </c>
      <c r="B48" s="1431"/>
      <c r="C48" s="1432">
        <v>30000</v>
      </c>
      <c r="D48" s="1432">
        <v>30000</v>
      </c>
      <c r="E48" s="1433">
        <v>2093</v>
      </c>
      <c r="F48" s="1433"/>
      <c r="G48" s="1433"/>
      <c r="H48" s="1433"/>
      <c r="I48" s="1433"/>
      <c r="J48" s="1433"/>
      <c r="K48" s="1433"/>
      <c r="L48" s="1433"/>
      <c r="M48" s="1413">
        <f t="shared" si="0"/>
        <v>27907</v>
      </c>
      <c r="N48" s="1434"/>
    </row>
    <row r="49" spans="1:14" ht="20.25" customHeight="1" x14ac:dyDescent="0.2">
      <c r="A49" s="1416" t="s">
        <v>1792</v>
      </c>
      <c r="B49" s="1431"/>
      <c r="C49" s="1432">
        <v>0</v>
      </c>
      <c r="D49" s="1432">
        <v>0</v>
      </c>
      <c r="E49" s="1433"/>
      <c r="F49" s="1433"/>
      <c r="G49" s="1433"/>
      <c r="H49" s="1433"/>
      <c r="I49" s="1433"/>
      <c r="J49" s="1433"/>
      <c r="K49" s="1433"/>
      <c r="L49" s="1433"/>
      <c r="M49" s="1413">
        <f t="shared" si="0"/>
        <v>0</v>
      </c>
      <c r="N49" s="1413"/>
    </row>
    <row r="50" spans="1:14" ht="20.25" customHeight="1" x14ac:dyDescent="0.2">
      <c r="A50" s="1435" t="s">
        <v>1793</v>
      </c>
      <c r="B50" s="1436"/>
      <c r="C50" s="1437">
        <v>51432</v>
      </c>
      <c r="D50" s="1437">
        <v>51432</v>
      </c>
      <c r="E50" s="1438"/>
      <c r="F50" s="1438"/>
      <c r="G50" s="1438">
        <v>51432</v>
      </c>
      <c r="H50" s="1438"/>
      <c r="I50" s="1438"/>
      <c r="J50" s="1438"/>
      <c r="K50" s="1433"/>
      <c r="L50" s="1433"/>
      <c r="M50" s="1413">
        <f t="shared" si="0"/>
        <v>0</v>
      </c>
      <c r="N50" s="1413"/>
    </row>
    <row r="51" spans="1:14" ht="20.25" customHeight="1" x14ac:dyDescent="0.2">
      <c r="A51" s="1435" t="s">
        <v>1977</v>
      </c>
      <c r="B51" s="1439"/>
      <c r="C51" s="1432">
        <v>115555</v>
      </c>
      <c r="D51" s="1432">
        <v>115555</v>
      </c>
      <c r="E51" s="1433"/>
      <c r="F51" s="1433"/>
      <c r="G51" s="1433">
        <v>2548</v>
      </c>
      <c r="H51" s="1433"/>
      <c r="I51" s="1433"/>
      <c r="J51" s="1433"/>
      <c r="K51" s="1433"/>
      <c r="L51" s="1433"/>
      <c r="M51" s="1413">
        <f t="shared" si="0"/>
        <v>113007</v>
      </c>
      <c r="N51" s="1413"/>
    </row>
    <row r="52" spans="1:14" ht="20.25" customHeight="1" x14ac:dyDescent="0.2">
      <c r="A52" s="1435" t="s">
        <v>1978</v>
      </c>
      <c r="B52" s="1440"/>
      <c r="C52" s="1437">
        <v>367002</v>
      </c>
      <c r="D52" s="1437">
        <v>367002</v>
      </c>
      <c r="E52" s="1438">
        <v>28798</v>
      </c>
      <c r="F52" s="1438"/>
      <c r="G52" s="1438"/>
      <c r="H52" s="1438"/>
      <c r="I52" s="1438"/>
      <c r="J52" s="1438"/>
      <c r="K52" s="1438"/>
      <c r="L52" s="1438"/>
      <c r="M52" s="1413">
        <f t="shared" si="0"/>
        <v>338204</v>
      </c>
      <c r="N52" s="1413"/>
    </row>
    <row r="53" spans="1:14" ht="20.25" customHeight="1" thickBot="1" x14ac:dyDescent="0.25">
      <c r="A53" s="1441" t="s">
        <v>1979</v>
      </c>
      <c r="B53" s="1440"/>
      <c r="C53" s="1437">
        <v>103776</v>
      </c>
      <c r="D53" s="1437">
        <v>103776</v>
      </c>
      <c r="E53" s="1442">
        <v>7241</v>
      </c>
      <c r="F53" s="1442">
        <v>225</v>
      </c>
      <c r="G53" s="1442">
        <v>4158</v>
      </c>
      <c r="H53" s="1442"/>
      <c r="I53" s="1442"/>
      <c r="J53" s="1442"/>
      <c r="K53" s="1442"/>
      <c r="L53" s="1442"/>
      <c r="M53" s="1413">
        <f t="shared" si="0"/>
        <v>92152</v>
      </c>
      <c r="N53" s="1413"/>
    </row>
    <row r="54" spans="1:14" ht="21" thickBot="1" x14ac:dyDescent="0.25">
      <c r="A54" s="1443" t="s">
        <v>1299</v>
      </c>
      <c r="B54" s="1444"/>
      <c r="C54" s="1445">
        <f>SUM(C50+C49+C48+C47+C46+C45+C44+C43+C42+C41+C40+C39+C38+C37+C36+C35+C34+C33+C27+C22+C21+C17+C16+C15+C14+C7+C6+C5)+C52+C51+C53</f>
        <v>2046650</v>
      </c>
      <c r="D54" s="1445">
        <f>SUM(D50+D49+D48+D47+D46+D45+D44+D43+D42+D41+D40+D39+D38+D37+D36+D35+D34+D33+D27+D22+D21+D17+D16+D15+D14+D7+D6+D5)+D52+D51+D53</f>
        <v>2046650</v>
      </c>
      <c r="E54" s="1446">
        <f>SUM(E50+E49+E48+E47+E46+E45+E44+E43+E42+E41+E40+E39+E38+E37+E36+E35+E34+E33+E27+E22+E21+E17+E16+E15+E14+E7+E6+E5)+E52+E51+E53</f>
        <v>491773</v>
      </c>
      <c r="F54" s="1446">
        <f t="shared" ref="F54:L54" si="6">SUM(F50+F49+F48+F47+F46+F45+F44+F43+F42+F41+F40+F39+F38+F37+F36+F35+F34+F33+F27+F22+F21+F17+F16+F15+F14+F7+F6+F5)+F52+F51+F53</f>
        <v>9029</v>
      </c>
      <c r="G54" s="1446">
        <f t="shared" si="6"/>
        <v>303332</v>
      </c>
      <c r="H54" s="1446">
        <f t="shared" si="6"/>
        <v>67736</v>
      </c>
      <c r="I54" s="1446">
        <f t="shared" si="6"/>
        <v>0</v>
      </c>
      <c r="J54" s="1446">
        <f t="shared" si="6"/>
        <v>0</v>
      </c>
      <c r="K54" s="1446">
        <f t="shared" si="6"/>
        <v>0</v>
      </c>
      <c r="L54" s="1446">
        <f t="shared" si="6"/>
        <v>0</v>
      </c>
      <c r="M54" s="1447">
        <f>SUM(M50+M49+M48+M47+M46+M45+M44+M43+M42+M41+M40+M39+M38+M37+M36+M35+M34+M33+M27+M22+M21+M17+M16+M15+M14+M7+M6+M5)+M52+M51+M53</f>
        <v>1174780</v>
      </c>
      <c r="N54" s="1447">
        <f>SUM(N50+N49+N48+N47+N46+N45+N44+N43+N42+N41+N40+N39+N38+N37+N36+N35+N34+N33+N27+N22+N21+N17+N16+N15+N14+N7+N6+N5)+N52+N51+N53</f>
        <v>0</v>
      </c>
    </row>
    <row r="55" spans="1:14" ht="20.25" x14ac:dyDescent="0.2">
      <c r="A55" s="1448"/>
      <c r="B55" s="1449"/>
      <c r="C55" s="1450"/>
      <c r="D55" s="1450"/>
      <c r="E55" s="1451"/>
      <c r="F55" s="1451"/>
      <c r="G55" s="1451"/>
      <c r="H55" s="1451"/>
      <c r="I55" s="1451"/>
      <c r="J55" s="1451"/>
      <c r="K55" s="1451"/>
      <c r="L55" s="1451"/>
      <c r="M55" s="1452"/>
      <c r="N55" s="1452"/>
    </row>
    <row r="56" spans="1:14" ht="15" customHeight="1" x14ac:dyDescent="0.2">
      <c r="A56" s="1540" t="s">
        <v>1794</v>
      </c>
      <c r="B56" s="1540"/>
      <c r="C56" s="1540"/>
      <c r="D56" s="1540"/>
      <c r="E56" s="1540"/>
      <c r="F56" s="1540"/>
      <c r="G56" s="1540"/>
      <c r="H56" s="1540"/>
      <c r="I56" s="1540"/>
      <c r="J56" s="1540"/>
      <c r="K56" s="1540"/>
      <c r="L56" s="1540"/>
      <c r="M56" s="1540"/>
      <c r="N56" s="1540"/>
    </row>
    <row r="57" spans="1:14" x14ac:dyDescent="0.2">
      <c r="A57" s="1540"/>
      <c r="B57" s="1540"/>
      <c r="C57" s="1540"/>
      <c r="D57" s="1540"/>
      <c r="E57" s="1540"/>
      <c r="F57" s="1540"/>
      <c r="G57" s="1540"/>
      <c r="H57" s="1540"/>
      <c r="I57" s="1540"/>
      <c r="J57" s="1540"/>
      <c r="K57" s="1540"/>
      <c r="L57" s="1540"/>
      <c r="M57" s="1540"/>
      <c r="N57" s="1540"/>
    </row>
    <row r="58" spans="1:14" x14ac:dyDescent="0.2">
      <c r="A58" s="1540"/>
      <c r="B58" s="1540"/>
      <c r="C58" s="1540"/>
      <c r="D58" s="1540"/>
      <c r="E58" s="1540"/>
      <c r="F58" s="1540"/>
      <c r="G58" s="1540"/>
      <c r="H58" s="1540"/>
      <c r="I58" s="1540"/>
      <c r="J58" s="1540"/>
      <c r="K58" s="1540"/>
      <c r="L58" s="1540"/>
      <c r="M58" s="1540"/>
      <c r="N58" s="1540"/>
    </row>
    <row r="59" spans="1:14" x14ac:dyDescent="0.2">
      <c r="A59" s="1540"/>
      <c r="B59" s="1540"/>
      <c r="C59" s="1540"/>
      <c r="D59" s="1540"/>
      <c r="E59" s="1540"/>
      <c r="F59" s="1540"/>
      <c r="G59" s="1540"/>
      <c r="H59" s="1540"/>
      <c r="I59" s="1540"/>
      <c r="J59" s="1540"/>
      <c r="K59" s="1540"/>
      <c r="L59" s="1540"/>
      <c r="M59" s="1540"/>
      <c r="N59" s="1540"/>
    </row>
    <row r="60" spans="1:14" x14ac:dyDescent="0.2">
      <c r="A60" s="1540"/>
      <c r="B60" s="1540"/>
      <c r="C60" s="1540"/>
      <c r="D60" s="1540"/>
      <c r="E60" s="1540"/>
      <c r="F60" s="1540"/>
      <c r="G60" s="1540"/>
      <c r="H60" s="1540"/>
      <c r="I60" s="1540"/>
      <c r="J60" s="1540"/>
      <c r="K60" s="1540"/>
      <c r="L60" s="1540"/>
      <c r="M60" s="1540"/>
      <c r="N60" s="1540"/>
    </row>
    <row r="61" spans="1:14" x14ac:dyDescent="0.2">
      <c r="A61" s="1540"/>
      <c r="B61" s="1540"/>
      <c r="C61" s="1540"/>
      <c r="D61" s="1540"/>
      <c r="E61" s="1540"/>
      <c r="F61" s="1540"/>
      <c r="G61" s="1540"/>
      <c r="H61" s="1540"/>
      <c r="I61" s="1540"/>
      <c r="J61" s="1540"/>
      <c r="K61" s="1540"/>
      <c r="L61" s="1540"/>
      <c r="M61" s="1540"/>
      <c r="N61" s="1540"/>
    </row>
    <row r="62" spans="1:14" x14ac:dyDescent="0.2">
      <c r="A62" s="1540"/>
      <c r="B62" s="1540"/>
      <c r="C62" s="1540"/>
      <c r="D62" s="1540"/>
      <c r="E62" s="1540"/>
      <c r="F62" s="1540"/>
      <c r="G62" s="1540"/>
      <c r="H62" s="1540"/>
      <c r="I62" s="1540"/>
      <c r="J62" s="1540"/>
      <c r="K62" s="1540"/>
      <c r="L62" s="1540"/>
      <c r="M62" s="1540"/>
      <c r="N62" s="1540"/>
    </row>
    <row r="63" spans="1:14" x14ac:dyDescent="0.2">
      <c r="A63" s="1540"/>
      <c r="B63" s="1540"/>
      <c r="C63" s="1540"/>
      <c r="D63" s="1540"/>
      <c r="E63" s="1540"/>
      <c r="F63" s="1540"/>
      <c r="G63" s="1540"/>
      <c r="H63" s="1540"/>
      <c r="I63" s="1540"/>
      <c r="J63" s="1540"/>
      <c r="K63" s="1540"/>
      <c r="L63" s="1540"/>
      <c r="M63" s="1540"/>
      <c r="N63" s="1540"/>
    </row>
    <row r="64" spans="1:14" x14ac:dyDescent="0.2">
      <c r="A64" s="1540"/>
      <c r="B64" s="1540"/>
      <c r="C64" s="1540"/>
      <c r="D64" s="1540"/>
      <c r="E64" s="1540"/>
      <c r="F64" s="1540"/>
      <c r="G64" s="1540"/>
      <c r="H64" s="1540"/>
      <c r="I64" s="1540"/>
      <c r="J64" s="1540"/>
      <c r="K64" s="1540"/>
      <c r="L64" s="1540"/>
      <c r="M64" s="1540"/>
      <c r="N64" s="1540"/>
    </row>
    <row r="65" spans="1:14" x14ac:dyDescent="0.2">
      <c r="A65" s="1540"/>
      <c r="B65" s="1540"/>
      <c r="C65" s="1540"/>
      <c r="D65" s="1540"/>
      <c r="E65" s="1540"/>
      <c r="F65" s="1540"/>
      <c r="G65" s="1540"/>
      <c r="H65" s="1540"/>
      <c r="I65" s="1540"/>
      <c r="J65" s="1540"/>
      <c r="K65" s="1540"/>
      <c r="L65" s="1540"/>
      <c r="M65" s="1540"/>
      <c r="N65" s="1540"/>
    </row>
    <row r="66" spans="1:14" x14ac:dyDescent="0.2">
      <c r="A66" s="1540"/>
      <c r="B66" s="1540"/>
      <c r="C66" s="1540"/>
      <c r="D66" s="1540"/>
      <c r="E66" s="1540"/>
      <c r="F66" s="1540"/>
      <c r="G66" s="1540"/>
      <c r="H66" s="1540"/>
      <c r="I66" s="1540"/>
      <c r="J66" s="1540"/>
      <c r="K66" s="1540"/>
      <c r="L66" s="1540"/>
      <c r="M66" s="1540"/>
      <c r="N66" s="1540"/>
    </row>
    <row r="67" spans="1:14" x14ac:dyDescent="0.2">
      <c r="A67" s="1540"/>
      <c r="B67" s="1540"/>
      <c r="C67" s="1540"/>
      <c r="D67" s="1540"/>
      <c r="E67" s="1540"/>
      <c r="F67" s="1540"/>
      <c r="G67" s="1540"/>
      <c r="H67" s="1540"/>
      <c r="I67" s="1540"/>
      <c r="J67" s="1540"/>
      <c r="K67" s="1540"/>
      <c r="L67" s="1540"/>
      <c r="M67" s="1540"/>
      <c r="N67" s="1540"/>
    </row>
    <row r="68" spans="1:14" x14ac:dyDescent="0.2">
      <c r="A68" s="1540"/>
      <c r="B68" s="1540"/>
      <c r="C68" s="1540"/>
      <c r="D68" s="1540"/>
      <c r="E68" s="1540"/>
      <c r="F68" s="1540"/>
      <c r="G68" s="1540"/>
      <c r="H68" s="1540"/>
      <c r="I68" s="1540"/>
      <c r="J68" s="1540"/>
      <c r="K68" s="1540"/>
      <c r="L68" s="1540"/>
      <c r="M68" s="1540"/>
      <c r="N68" s="1540"/>
    </row>
    <row r="69" spans="1:14" x14ac:dyDescent="0.2">
      <c r="A69" s="1540"/>
      <c r="B69" s="1540"/>
      <c r="C69" s="1540"/>
      <c r="D69" s="1540"/>
      <c r="E69" s="1540"/>
      <c r="F69" s="1540"/>
      <c r="G69" s="1540"/>
      <c r="H69" s="1540"/>
      <c r="I69" s="1540"/>
      <c r="J69" s="1540"/>
      <c r="K69" s="1540"/>
      <c r="L69" s="1540"/>
      <c r="M69" s="1540"/>
      <c r="N69" s="1540"/>
    </row>
    <row r="70" spans="1:14" x14ac:dyDescent="0.2">
      <c r="A70" s="1540"/>
      <c r="B70" s="1540"/>
      <c r="C70" s="1540"/>
      <c r="D70" s="1540"/>
      <c r="E70" s="1540"/>
      <c r="F70" s="1540"/>
      <c r="G70" s="1540"/>
      <c r="H70" s="1540"/>
      <c r="I70" s="1540"/>
      <c r="J70" s="1540"/>
      <c r="K70" s="1540"/>
      <c r="L70" s="1540"/>
      <c r="M70" s="1540"/>
      <c r="N70" s="1540"/>
    </row>
    <row r="71" spans="1:14" x14ac:dyDescent="0.2">
      <c r="A71" s="1540"/>
      <c r="B71" s="1540"/>
      <c r="C71" s="1540"/>
      <c r="D71" s="1540"/>
      <c r="E71" s="1540"/>
      <c r="F71" s="1540"/>
      <c r="G71" s="1540"/>
      <c r="H71" s="1540"/>
      <c r="I71" s="1540"/>
      <c r="J71" s="1540"/>
      <c r="K71" s="1540"/>
      <c r="L71" s="1540"/>
      <c r="M71" s="1540"/>
      <c r="N71" s="1540"/>
    </row>
    <row r="72" spans="1:14" x14ac:dyDescent="0.2">
      <c r="A72" s="1540"/>
      <c r="B72" s="1540"/>
      <c r="C72" s="1540"/>
      <c r="D72" s="1540"/>
      <c r="E72" s="1540"/>
      <c r="F72" s="1540"/>
      <c r="G72" s="1540"/>
      <c r="H72" s="1540"/>
      <c r="I72" s="1540"/>
      <c r="J72" s="1540"/>
      <c r="K72" s="1540"/>
      <c r="L72" s="1540"/>
      <c r="M72" s="1540"/>
      <c r="N72" s="1540"/>
    </row>
    <row r="73" spans="1:14" x14ac:dyDescent="0.2">
      <c r="A73" s="1540"/>
      <c r="B73" s="1540"/>
      <c r="C73" s="1540"/>
      <c r="D73" s="1540"/>
      <c r="E73" s="1540"/>
      <c r="F73" s="1540"/>
      <c r="G73" s="1540"/>
      <c r="H73" s="1540"/>
      <c r="I73" s="1540"/>
      <c r="J73" s="1540"/>
      <c r="K73" s="1540"/>
      <c r="L73" s="1540"/>
      <c r="M73" s="1540"/>
      <c r="N73" s="1540"/>
    </row>
    <row r="74" spans="1:14" x14ac:dyDescent="0.2">
      <c r="A74" s="1540"/>
      <c r="B74" s="1540"/>
      <c r="C74" s="1540"/>
      <c r="D74" s="1540"/>
      <c r="E74" s="1540"/>
      <c r="F74" s="1540"/>
      <c r="G74" s="1540"/>
      <c r="H74" s="1540"/>
      <c r="I74" s="1540"/>
      <c r="J74" s="1540"/>
      <c r="K74" s="1540"/>
      <c r="L74" s="1540"/>
      <c r="M74" s="1540"/>
      <c r="N74" s="1540"/>
    </row>
    <row r="75" spans="1:14" x14ac:dyDescent="0.2">
      <c r="A75" s="1540"/>
      <c r="B75" s="1540"/>
      <c r="C75" s="1540"/>
      <c r="D75" s="1540"/>
      <c r="E75" s="1540"/>
      <c r="F75" s="1540"/>
      <c r="G75" s="1540"/>
      <c r="H75" s="1540"/>
      <c r="I75" s="1540"/>
      <c r="J75" s="1540"/>
      <c r="K75" s="1540"/>
      <c r="L75" s="1540"/>
      <c r="M75" s="1540"/>
      <c r="N75" s="1540"/>
    </row>
    <row r="78" spans="1:14" ht="18.75" x14ac:dyDescent="0.2">
      <c r="C78" s="1453">
        <v>74549</v>
      </c>
      <c r="D78" s="1454">
        <f>SUM(C78/C88)*100</f>
        <v>9.4554692791423882</v>
      </c>
      <c r="E78" s="1453">
        <f>SUM(C90*D78)/100</f>
        <v>5201.4536504562275</v>
      </c>
    </row>
    <row r="79" spans="1:14" ht="18.75" x14ac:dyDescent="0.2">
      <c r="C79" s="1453">
        <v>15240</v>
      </c>
      <c r="D79" s="1454">
        <f>SUM(C79/C88)*100</f>
        <v>1.9329749804038954</v>
      </c>
      <c r="E79" s="1453">
        <f>SUM(C90*D79)/100</f>
        <v>1063.3295367201829</v>
      </c>
    </row>
    <row r="80" spans="1:14" ht="18.75" x14ac:dyDescent="0.2">
      <c r="C80" s="1453">
        <v>1969</v>
      </c>
      <c r="D80" s="1454">
        <f>SUM(C80/C88)*100</f>
        <v>0.24973935278315421</v>
      </c>
      <c r="E80" s="1453">
        <f>SUM(C90*D80)/100</f>
        <v>137.38161796601312</v>
      </c>
    </row>
    <row r="81" spans="3:5" ht="18.75" x14ac:dyDescent="0.2">
      <c r="C81" s="1453">
        <v>5300</v>
      </c>
      <c r="D81" s="1454">
        <f>SUM(C81/C88)*100</f>
        <v>0.67222883176775894</v>
      </c>
      <c r="E81" s="1453">
        <f>SUM(C90*D81)/100</f>
        <v>369.7930803554442</v>
      </c>
    </row>
    <row r="82" spans="3:5" ht="18.75" x14ac:dyDescent="0.2">
      <c r="C82" s="1453">
        <v>33397</v>
      </c>
      <c r="D82" s="1454">
        <f>SUM(C82/C88)*100</f>
        <v>4.2359294895373285</v>
      </c>
      <c r="E82" s="1453">
        <f>SUM(C90*D82)/100</f>
        <v>2330.1848121944845</v>
      </c>
    </row>
    <row r="83" spans="3:5" ht="18.75" x14ac:dyDescent="0.2">
      <c r="C83" s="1453">
        <v>8000</v>
      </c>
      <c r="D83" s="1454">
        <f>SUM(C83/C88*100)</f>
        <v>1.0146850290834097</v>
      </c>
      <c r="E83" s="1453">
        <f>SUM(C90*D83)/100</f>
        <v>558.1782344987837</v>
      </c>
    </row>
    <row r="84" spans="3:5" ht="18.75" x14ac:dyDescent="0.2">
      <c r="C84" s="1453">
        <v>30000</v>
      </c>
      <c r="D84" s="1454">
        <f>SUM(C84/C88)*100</f>
        <v>3.8050688590627857</v>
      </c>
      <c r="E84" s="1453">
        <f>SUM(C90*D84)/100</f>
        <v>2093.1683793704383</v>
      </c>
    </row>
    <row r="85" spans="3:5" ht="18.75" x14ac:dyDescent="0.2">
      <c r="C85" s="1453">
        <v>24073</v>
      </c>
      <c r="D85" s="1454">
        <f>SUM(C85/C88)*100</f>
        <v>3.0533140881406151</v>
      </c>
      <c r="E85" s="1453">
        <f>SUM(C90*D85)/100</f>
        <v>1679.6280798861524</v>
      </c>
    </row>
    <row r="86" spans="3:5" ht="18.75" x14ac:dyDescent="0.2">
      <c r="C86" s="1453">
        <v>492118</v>
      </c>
      <c r="D86" s="1454">
        <f>SUM(C86/C88)*100</f>
        <v>62.41809589280868</v>
      </c>
      <c r="E86" s="1453">
        <f>SUM(C90*D86)/100</f>
        <v>34336.194550634056</v>
      </c>
    </row>
    <row r="87" spans="3:5" ht="18.75" x14ac:dyDescent="0.2">
      <c r="C87" s="1453">
        <v>103776</v>
      </c>
      <c r="D87" s="1454">
        <f>SUM(C87/C88)*100</f>
        <v>13.162494197269989</v>
      </c>
      <c r="E87" s="1453">
        <f>SUM(C90*D87)/100</f>
        <v>7240.6880579182216</v>
      </c>
    </row>
    <row r="88" spans="3:5" ht="18.75" x14ac:dyDescent="0.2">
      <c r="C88" s="1455">
        <f>SUM(C78:C87)</f>
        <v>788422</v>
      </c>
      <c r="D88" s="1455">
        <f t="shared" ref="D88:E88" si="7">SUM(D78:D87)</f>
        <v>100.00000000000001</v>
      </c>
      <c r="E88" s="1455">
        <f t="shared" si="7"/>
        <v>55010</v>
      </c>
    </row>
    <row r="89" spans="3:5" ht="18.75" x14ac:dyDescent="0.2">
      <c r="C89" s="1453"/>
      <c r="D89" s="1453"/>
      <c r="E89" s="1453"/>
    </row>
    <row r="90" spans="3:5" ht="18.75" x14ac:dyDescent="0.2">
      <c r="C90" s="1455">
        <v>55010</v>
      </c>
      <c r="D90" s="1453"/>
      <c r="E90" s="1453"/>
    </row>
    <row r="91" spans="3:5" ht="18.75" x14ac:dyDescent="0.2">
      <c r="C91" s="1453"/>
      <c r="D91" s="1453"/>
      <c r="E91" s="1453"/>
    </row>
    <row r="92" spans="3:5" ht="18.75" x14ac:dyDescent="0.2">
      <c r="C92" s="1453"/>
      <c r="D92" s="1453"/>
      <c r="E92" s="1453"/>
    </row>
  </sheetData>
  <mergeCells count="12">
    <mergeCell ref="M3:N3"/>
    <mergeCell ref="A56:N75"/>
    <mergeCell ref="A1:N1"/>
    <mergeCell ref="A3:A4"/>
    <mergeCell ref="B3:B4"/>
    <mergeCell ref="C3:C4"/>
    <mergeCell ref="D3:D4"/>
    <mergeCell ref="E3:E4"/>
    <mergeCell ref="F3:F4"/>
    <mergeCell ref="H3:I3"/>
    <mergeCell ref="J3:K3"/>
    <mergeCell ref="L3:L4"/>
  </mergeCells>
  <printOptions horizontalCentered="1" verticalCentered="1"/>
  <pageMargins left="0.31496062992125984" right="0.15748031496062992" top="0.39370078740157483" bottom="0.39370078740157483" header="0.31496062992125984" footer="0.31496062992125984"/>
  <pageSetup paperSize="8" scale="63" orientation="landscape" r:id="rId1"/>
  <headerFooter>
    <oddHeader>&amp;R&amp;12 1.3. számú melléklet</oddHeader>
    <oddFooter xml:space="preserve">&amp;C&amp;12-&amp;P -&amp;10
</oddFooter>
  </headerFooter>
  <rowBreaks count="1" manualBreakCount="1">
    <brk id="54" max="1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view="pageBreakPreview" workbookViewId="0">
      <selection activeCell="D14" sqref="D14"/>
    </sheetView>
  </sheetViews>
  <sheetFormatPr defaultRowHeight="12.75" x14ac:dyDescent="0.2"/>
  <cols>
    <col min="1" max="1" width="2.83203125" style="867" customWidth="1"/>
    <col min="2" max="2" width="3.5" style="868" customWidth="1"/>
    <col min="3" max="3" width="2.6640625" style="868" customWidth="1"/>
    <col min="4" max="4" width="62.83203125" style="867" customWidth="1"/>
    <col min="5" max="7" width="0" style="867" hidden="1" customWidth="1"/>
    <col min="8" max="8" width="16.83203125" style="867" hidden="1" customWidth="1"/>
    <col min="9" max="9" width="15.1640625" style="867" customWidth="1"/>
    <col min="10" max="16384" width="9.33203125" style="867"/>
  </cols>
  <sheetData>
    <row r="1" spans="1:9" ht="48" customHeight="1" thickBot="1" x14ac:dyDescent="0.25">
      <c r="A1" s="1684" t="s">
        <v>326</v>
      </c>
      <c r="B1" s="1684"/>
      <c r="C1" s="1684"/>
      <c r="D1" s="869" t="s">
        <v>264</v>
      </c>
      <c r="E1" s="869"/>
      <c r="F1" s="869" t="s">
        <v>1361</v>
      </c>
      <c r="G1" s="870" t="s">
        <v>1362</v>
      </c>
      <c r="H1" s="871" t="s">
        <v>1363</v>
      </c>
      <c r="I1" s="871" t="s">
        <v>1479</v>
      </c>
    </row>
    <row r="2" spans="1:9" ht="16.5" thickTop="1" x14ac:dyDescent="0.25">
      <c r="A2" s="872"/>
      <c r="B2" s="873" t="s">
        <v>5</v>
      </c>
      <c r="C2" s="874"/>
      <c r="D2" s="875" t="s">
        <v>10</v>
      </c>
      <c r="E2" s="876"/>
      <c r="F2" s="876"/>
      <c r="G2" s="876"/>
      <c r="H2" s="877"/>
      <c r="I2" s="877"/>
    </row>
    <row r="3" spans="1:9" ht="15" x14ac:dyDescent="0.25">
      <c r="A3" s="878"/>
      <c r="B3" s="879" t="s">
        <v>6</v>
      </c>
      <c r="C3" s="880"/>
      <c r="D3" s="881" t="s">
        <v>8</v>
      </c>
      <c r="E3" s="882"/>
      <c r="F3" s="882" t="e">
        <f>SUM(#REF!)</f>
        <v>#REF!</v>
      </c>
      <c r="G3" s="882" t="e">
        <f>SUM(#REF!)</f>
        <v>#REF!</v>
      </c>
      <c r="H3" s="883">
        <v>1743000</v>
      </c>
      <c r="I3" s="883">
        <f>SUM('3. sz. mell'!D9)</f>
        <v>1515000</v>
      </c>
    </row>
    <row r="4" spans="1:9" ht="15" x14ac:dyDescent="0.25">
      <c r="A4" s="884"/>
      <c r="B4" s="885" t="s">
        <v>20</v>
      </c>
      <c r="C4" s="886"/>
      <c r="D4" s="887" t="s">
        <v>361</v>
      </c>
      <c r="E4" s="888"/>
      <c r="F4" s="888" t="e">
        <f>SUM(#REF!)</f>
        <v>#REF!</v>
      </c>
      <c r="G4" s="888" t="e">
        <f>SUM(#REF!)</f>
        <v>#REF!</v>
      </c>
      <c r="H4" s="889"/>
      <c r="I4" s="889"/>
    </row>
    <row r="5" spans="1:9" ht="15" x14ac:dyDescent="0.25">
      <c r="A5" s="884"/>
      <c r="B5" s="885" t="s">
        <v>150</v>
      </c>
      <c r="C5" s="887"/>
      <c r="D5" s="887" t="s">
        <v>1364</v>
      </c>
      <c r="E5" s="888"/>
      <c r="F5" s="888"/>
      <c r="G5" s="888"/>
      <c r="H5" s="889">
        <v>10000</v>
      </c>
      <c r="I5" s="889">
        <f>SUM('3.1.asz.melléklet'!E35)</f>
        <v>10000</v>
      </c>
    </row>
    <row r="6" spans="1:9" ht="15" x14ac:dyDescent="0.25">
      <c r="A6" s="884"/>
      <c r="B6" s="885" t="s">
        <v>39</v>
      </c>
      <c r="C6" s="887"/>
      <c r="D6" s="887" t="s">
        <v>16</v>
      </c>
      <c r="E6" s="888"/>
      <c r="F6" s="888" t="e">
        <f>SUM(#REF!)</f>
        <v>#REF!</v>
      </c>
      <c r="G6" s="888" t="e">
        <f>SUM(#REF!)</f>
        <v>#REF!</v>
      </c>
      <c r="H6" s="889">
        <v>48797</v>
      </c>
      <c r="I6" s="889">
        <f>SUM('3.1.asz.melléklet'!E15)</f>
        <v>50803</v>
      </c>
    </row>
    <row r="7" spans="1:9" ht="16.5" x14ac:dyDescent="0.25">
      <c r="A7" s="884"/>
      <c r="B7" s="890" t="s">
        <v>49</v>
      </c>
      <c r="C7" s="891"/>
      <c r="D7" s="891" t="s">
        <v>1365</v>
      </c>
      <c r="E7" s="892"/>
      <c r="F7" s="892" t="e">
        <f>SUM(F2:F6)</f>
        <v>#REF!</v>
      </c>
      <c r="G7" s="892" t="e">
        <f>SUM(G2:G6)</f>
        <v>#REF!</v>
      </c>
      <c r="H7" s="893">
        <f>SUM(H2:H6)</f>
        <v>1801797</v>
      </c>
      <c r="I7" s="893">
        <f>SUM(I2:I6)</f>
        <v>1575803</v>
      </c>
    </row>
    <row r="8" spans="1:9" ht="29.25" x14ac:dyDescent="0.25">
      <c r="A8" s="884"/>
      <c r="B8" s="894" t="s">
        <v>179</v>
      </c>
      <c r="C8" s="886"/>
      <c r="D8" s="895" t="s">
        <v>1366</v>
      </c>
      <c r="E8" s="896"/>
      <c r="F8" s="896" t="e">
        <f>SUM(F9:F15)</f>
        <v>#REF!</v>
      </c>
      <c r="G8" s="896" t="e">
        <f>SUM(G9:G15)</f>
        <v>#REF!</v>
      </c>
      <c r="H8" s="897">
        <f>SUM(H9:H15)</f>
        <v>81664</v>
      </c>
      <c r="I8" s="897">
        <f>SUM(I9:I15)</f>
        <v>74000</v>
      </c>
    </row>
    <row r="9" spans="1:9" ht="15" x14ac:dyDescent="0.25">
      <c r="A9" s="884"/>
      <c r="B9" s="885" t="s">
        <v>75</v>
      </c>
      <c r="C9" s="887"/>
      <c r="D9" s="887" t="s">
        <v>1367</v>
      </c>
      <c r="E9" s="888"/>
      <c r="F9" s="888"/>
      <c r="G9" s="888"/>
      <c r="H9" s="889"/>
      <c r="I9" s="889"/>
    </row>
    <row r="10" spans="1:9" ht="15" x14ac:dyDescent="0.25">
      <c r="A10" s="898"/>
      <c r="B10" s="885" t="s">
        <v>207</v>
      </c>
      <c r="C10" s="886"/>
      <c r="D10" s="899" t="s">
        <v>1368</v>
      </c>
      <c r="E10" s="888"/>
      <c r="F10" s="888" t="e">
        <f>SUM(#REF!+#REF!+#REF!+#REF!)</f>
        <v>#REF!</v>
      </c>
      <c r="G10" s="888" t="e">
        <f>SUM(#REF!+#REF!+#REF!+#REF!)</f>
        <v>#REF!</v>
      </c>
      <c r="H10" s="889">
        <v>71664</v>
      </c>
      <c r="I10" s="889">
        <f>SUM('3.2.sz.melléklet'!E151)</f>
        <v>64000</v>
      </c>
    </row>
    <row r="11" spans="1:9" ht="15" x14ac:dyDescent="0.25">
      <c r="A11" s="898"/>
      <c r="B11" s="885" t="s">
        <v>80</v>
      </c>
      <c r="C11" s="886"/>
      <c r="D11" s="899" t="s">
        <v>1369</v>
      </c>
      <c r="E11" s="888"/>
      <c r="F11" s="888" t="e">
        <f>SUM(#REF!)</f>
        <v>#REF!</v>
      </c>
      <c r="G11" s="888" t="e">
        <f>SUM(#REF!)</f>
        <v>#REF!</v>
      </c>
      <c r="H11" s="889"/>
      <c r="I11" s="889"/>
    </row>
    <row r="12" spans="1:9" ht="15" x14ac:dyDescent="0.25">
      <c r="A12" s="884"/>
      <c r="B12" s="885" t="s">
        <v>81</v>
      </c>
      <c r="C12" s="900"/>
      <c r="D12" s="899" t="s">
        <v>1370</v>
      </c>
      <c r="E12" s="901"/>
      <c r="F12" s="901"/>
      <c r="G12" s="901"/>
      <c r="H12" s="902"/>
      <c r="I12" s="902"/>
    </row>
    <row r="13" spans="1:9" ht="15" x14ac:dyDescent="0.25">
      <c r="A13" s="884"/>
      <c r="B13" s="885" t="s">
        <v>86</v>
      </c>
      <c r="C13" s="887"/>
      <c r="D13" s="899" t="s">
        <v>1848</v>
      </c>
      <c r="E13" s="888"/>
      <c r="F13" s="888" t="e">
        <f>SUM(#REF!)</f>
        <v>#REF!</v>
      </c>
      <c r="G13" s="888" t="e">
        <f>SUM(#REF!+#REF!)</f>
        <v>#REF!</v>
      </c>
      <c r="H13" s="889">
        <v>10000</v>
      </c>
      <c r="I13" s="889">
        <v>10000</v>
      </c>
    </row>
    <row r="14" spans="1:9" ht="15" x14ac:dyDescent="0.25">
      <c r="A14" s="884"/>
      <c r="B14" s="885" t="s">
        <v>99</v>
      </c>
      <c r="C14" s="887"/>
      <c r="D14" s="899" t="s">
        <v>1371</v>
      </c>
      <c r="E14" s="888"/>
      <c r="F14" s="888" t="e">
        <f>SUM(#REF!)</f>
        <v>#REF!</v>
      </c>
      <c r="G14" s="888" t="e">
        <f>SUM(#REF!)</f>
        <v>#REF!</v>
      </c>
      <c r="H14" s="889"/>
      <c r="I14" s="889"/>
    </row>
    <row r="15" spans="1:9" ht="15" x14ac:dyDescent="0.25">
      <c r="A15" s="884"/>
      <c r="B15" s="885" t="s">
        <v>100</v>
      </c>
      <c r="C15" s="886"/>
      <c r="D15" s="899" t="s">
        <v>1372</v>
      </c>
      <c r="E15" s="888"/>
      <c r="F15" s="888" t="e">
        <f>SUM(#REF!)</f>
        <v>#REF!</v>
      </c>
      <c r="G15" s="888" t="e">
        <f>SUM(#REF!)</f>
        <v>#REF!</v>
      </c>
      <c r="H15" s="889"/>
      <c r="I15" s="889"/>
    </row>
    <row r="16" spans="1:9" ht="15" customHeight="1" x14ac:dyDescent="0.2">
      <c r="A16" s="903"/>
      <c r="B16" s="904" t="s">
        <v>212</v>
      </c>
      <c r="C16" s="880"/>
      <c r="D16" s="905" t="s">
        <v>1373</v>
      </c>
      <c r="E16" s="906"/>
      <c r="F16" s="906" t="e">
        <f>SUM(#REF!+#REF!+#REF!+#REF!+#REF!+#REF!+#REF!)</f>
        <v>#REF!</v>
      </c>
      <c r="G16" s="906" t="e">
        <f>SUM(#REF!+#REF!+#REF!+#REF!+#REF!+#REF!+#REF!)</f>
        <v>#REF!</v>
      </c>
      <c r="H16" s="907">
        <v>75150</v>
      </c>
      <c r="I16" s="907">
        <f>SUM('3.2.sz.melléklet'!E139)</f>
        <v>44500</v>
      </c>
    </row>
    <row r="17" spans="1:9" ht="15" customHeight="1" x14ac:dyDescent="0.25">
      <c r="A17" s="898"/>
      <c r="B17" s="890" t="s">
        <v>214</v>
      </c>
      <c r="C17" s="891"/>
      <c r="D17" s="908" t="s">
        <v>1374</v>
      </c>
      <c r="E17" s="892"/>
      <c r="F17" s="892" t="e">
        <f>SUM(F8+F16)</f>
        <v>#REF!</v>
      </c>
      <c r="G17" s="892" t="e">
        <f>SUM(G8+G16)</f>
        <v>#REF!</v>
      </c>
      <c r="H17" s="893">
        <f>SUM(H8+H16)</f>
        <v>156814</v>
      </c>
      <c r="I17" s="893">
        <f>SUM(I8+I16)</f>
        <v>118500</v>
      </c>
    </row>
    <row r="18" spans="1:9" ht="15" customHeight="1" thickBot="1" x14ac:dyDescent="0.3">
      <c r="A18" s="909"/>
      <c r="B18" s="910" t="s">
        <v>216</v>
      </c>
      <c r="C18" s="911"/>
      <c r="D18" s="912" t="s">
        <v>1375</v>
      </c>
      <c r="E18" s="913"/>
      <c r="F18" s="913" t="e">
        <f>SUM(F7-F17)*0.7</f>
        <v>#REF!</v>
      </c>
      <c r="G18" s="913" t="e">
        <f>SUM(G7-G17)*0.7</f>
        <v>#REF!</v>
      </c>
      <c r="H18" s="914">
        <f>SUM(H7-H17)*0.5</f>
        <v>822491.5</v>
      </c>
      <c r="I18" s="914">
        <f>SUM(I7-I17)*0.5</f>
        <v>728651.5</v>
      </c>
    </row>
  </sheetData>
  <sheetProtection selectLockedCells="1" selectUnlockedCells="1"/>
  <mergeCells count="1">
    <mergeCell ref="A1:C1"/>
  </mergeCells>
  <printOptions horizontalCentered="1"/>
  <pageMargins left="0.19685039370078741" right="0.19685039370078741" top="1.4566929133858268" bottom="0.9055118110236221" header="0.55118110236220474" footer="0.47244094488188981"/>
  <pageSetup paperSize="9" firstPageNumber="109" orientation="portrait" useFirstPageNumber="1" horizontalDpi="300" verticalDpi="300" r:id="rId1"/>
  <headerFooter alignWithMargins="0">
    <oddHeader>&amp;C&amp;"Times New Roman,Félkövér"&amp;14
Vecsés Város Önkormányzat 2013. évi hitelfelvételi maximum bemutatása&amp;R&amp;"Arial,Normál"&amp;12 15. sz. melléklet
Ezer Ft</oddHeader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topLeftCell="A7" zoomScaleNormal="120" workbookViewId="0">
      <selection activeCell="G23" sqref="G23"/>
    </sheetView>
  </sheetViews>
  <sheetFormatPr defaultRowHeight="12.75" x14ac:dyDescent="0.2"/>
  <cols>
    <col min="1" max="1" width="6.6640625" customWidth="1"/>
    <col min="2" max="2" width="57.6640625" customWidth="1"/>
    <col min="3" max="3" width="24.33203125" customWidth="1"/>
    <col min="4" max="4" width="14.83203125" customWidth="1"/>
  </cols>
  <sheetData>
    <row r="1" spans="1:4" ht="32.25" customHeight="1" x14ac:dyDescent="0.2">
      <c r="A1" s="915" t="s">
        <v>197</v>
      </c>
      <c r="B1" s="916" t="s">
        <v>1376</v>
      </c>
      <c r="C1" s="916" t="s">
        <v>1377</v>
      </c>
      <c r="D1" s="917" t="s">
        <v>1378</v>
      </c>
    </row>
    <row r="2" spans="1:4" ht="15.95" customHeight="1" x14ac:dyDescent="0.2">
      <c r="A2" s="918"/>
      <c r="B2" s="355" t="s">
        <v>563</v>
      </c>
      <c r="C2" s="920" t="s">
        <v>1379</v>
      </c>
      <c r="D2" s="356">
        <f>SUM(D3:D11)-D6</f>
        <v>16800</v>
      </c>
    </row>
    <row r="3" spans="1:4" ht="19.5" customHeight="1" x14ac:dyDescent="0.25">
      <c r="A3" s="919" t="s">
        <v>5</v>
      </c>
      <c r="B3" s="383" t="s">
        <v>565</v>
      </c>
      <c r="C3" s="920" t="s">
        <v>1379</v>
      </c>
      <c r="D3" s="310">
        <v>1700</v>
      </c>
    </row>
    <row r="4" spans="1:4" ht="15.95" customHeight="1" x14ac:dyDescent="0.25">
      <c r="A4" s="919" t="s">
        <v>6</v>
      </c>
      <c r="B4" s="383" t="s">
        <v>567</v>
      </c>
      <c r="C4" s="920" t="s">
        <v>1379</v>
      </c>
      <c r="D4" s="310">
        <v>200</v>
      </c>
    </row>
    <row r="5" spans="1:4" ht="15.95" customHeight="1" x14ac:dyDescent="0.25">
      <c r="A5" s="919" t="s">
        <v>20</v>
      </c>
      <c r="B5" s="383" t="s">
        <v>569</v>
      </c>
      <c r="C5" s="920" t="s">
        <v>1379</v>
      </c>
      <c r="D5" s="310">
        <v>6000</v>
      </c>
    </row>
    <row r="6" spans="1:4" ht="15.95" customHeight="1" x14ac:dyDescent="0.25">
      <c r="A6" s="919" t="s">
        <v>150</v>
      </c>
      <c r="B6" s="383" t="s">
        <v>571</v>
      </c>
      <c r="C6" s="920" t="s">
        <v>1379</v>
      </c>
      <c r="D6" s="310"/>
    </row>
    <row r="7" spans="1:4" ht="15.95" customHeight="1" x14ac:dyDescent="0.25">
      <c r="A7" s="919" t="s">
        <v>39</v>
      </c>
      <c r="B7" s="383" t="s">
        <v>573</v>
      </c>
      <c r="C7" s="920" t="s">
        <v>1379</v>
      </c>
      <c r="D7" s="310">
        <v>200</v>
      </c>
    </row>
    <row r="8" spans="1:4" ht="15.95" customHeight="1" x14ac:dyDescent="0.25">
      <c r="A8" s="919" t="s">
        <v>49</v>
      </c>
      <c r="B8" s="383" t="s">
        <v>575</v>
      </c>
      <c r="C8" s="920" t="s">
        <v>1379</v>
      </c>
      <c r="D8" s="310">
        <v>200</v>
      </c>
    </row>
    <row r="9" spans="1:4" ht="15.95" customHeight="1" x14ac:dyDescent="0.25">
      <c r="A9" s="919" t="s">
        <v>179</v>
      </c>
      <c r="B9" s="383" t="s">
        <v>577</v>
      </c>
      <c r="C9" s="920" t="s">
        <v>1379</v>
      </c>
      <c r="D9" s="310">
        <v>4000</v>
      </c>
    </row>
    <row r="10" spans="1:4" ht="15.95" customHeight="1" x14ac:dyDescent="0.25">
      <c r="A10" s="919" t="s">
        <v>207</v>
      </c>
      <c r="B10" s="383" t="s">
        <v>579</v>
      </c>
      <c r="C10" s="920" t="s">
        <v>1379</v>
      </c>
      <c r="D10" s="310">
        <v>500</v>
      </c>
    </row>
    <row r="11" spans="1:4" ht="15.95" customHeight="1" x14ac:dyDescent="0.25">
      <c r="A11" s="919" t="s">
        <v>80</v>
      </c>
      <c r="B11" s="383" t="s">
        <v>581</v>
      </c>
      <c r="C11" s="920" t="s">
        <v>1379</v>
      </c>
      <c r="D11" s="310">
        <f>SUM(D12:D13)</f>
        <v>4000</v>
      </c>
    </row>
    <row r="12" spans="1:4" ht="15.95" customHeight="1" x14ac:dyDescent="0.25">
      <c r="A12" s="919"/>
      <c r="B12" s="383" t="s">
        <v>583</v>
      </c>
      <c r="C12" s="920" t="s">
        <v>1379</v>
      </c>
      <c r="D12" s="310">
        <v>2500</v>
      </c>
    </row>
    <row r="13" spans="1:4" ht="15.95" customHeight="1" x14ac:dyDescent="0.25">
      <c r="A13" s="919" t="s">
        <v>81</v>
      </c>
      <c r="B13" s="383" t="s">
        <v>1507</v>
      </c>
      <c r="C13" s="920" t="s">
        <v>1379</v>
      </c>
      <c r="D13" s="310">
        <v>1500</v>
      </c>
    </row>
    <row r="14" spans="1:4" ht="15.95" customHeight="1" x14ac:dyDescent="0.2">
      <c r="A14" s="919" t="s">
        <v>86</v>
      </c>
      <c r="B14" s="355" t="s">
        <v>586</v>
      </c>
      <c r="C14" s="920" t="s">
        <v>1379</v>
      </c>
      <c r="D14" s="356">
        <f>SUM(D15:D23)-D16-D17-D22</f>
        <v>43620</v>
      </c>
    </row>
    <row r="15" spans="1:4" ht="15.95" customHeight="1" x14ac:dyDescent="0.25">
      <c r="A15" s="919" t="s">
        <v>99</v>
      </c>
      <c r="B15" s="383" t="s">
        <v>588</v>
      </c>
      <c r="C15" s="920" t="s">
        <v>1379</v>
      </c>
      <c r="D15" s="314">
        <f>SUM(D16:D17)</f>
        <v>24500</v>
      </c>
    </row>
    <row r="16" spans="1:4" ht="15.95" customHeight="1" x14ac:dyDescent="0.25">
      <c r="A16" s="919" t="s">
        <v>100</v>
      </c>
      <c r="B16" s="383" t="s">
        <v>1508</v>
      </c>
      <c r="C16" s="920" t="s">
        <v>1379</v>
      </c>
      <c r="D16" s="310">
        <v>17000</v>
      </c>
    </row>
    <row r="17" spans="1:4" ht="15.95" customHeight="1" x14ac:dyDescent="0.25">
      <c r="A17" s="919" t="s">
        <v>212</v>
      </c>
      <c r="B17" s="383" t="s">
        <v>591</v>
      </c>
      <c r="C17" s="920" t="s">
        <v>1379</v>
      </c>
      <c r="D17" s="310">
        <v>7500</v>
      </c>
    </row>
    <row r="18" spans="1:4" ht="15.95" customHeight="1" x14ac:dyDescent="0.25">
      <c r="A18" s="919" t="s">
        <v>216</v>
      </c>
      <c r="B18" s="383" t="s">
        <v>595</v>
      </c>
      <c r="C18" s="920" t="s">
        <v>1379</v>
      </c>
      <c r="D18" s="310">
        <v>3500</v>
      </c>
    </row>
    <row r="19" spans="1:4" ht="15.95" customHeight="1" x14ac:dyDescent="0.25">
      <c r="A19" s="919" t="s">
        <v>217</v>
      </c>
      <c r="B19" s="383" t="s">
        <v>1494</v>
      </c>
      <c r="C19" s="920" t="s">
        <v>1379</v>
      </c>
      <c r="D19" s="310">
        <v>1500</v>
      </c>
    </row>
    <row r="20" spans="1:4" ht="15.95" customHeight="1" x14ac:dyDescent="0.25">
      <c r="A20" s="919" t="s">
        <v>219</v>
      </c>
      <c r="B20" s="386" t="s">
        <v>598</v>
      </c>
      <c r="C20" s="920" t="s">
        <v>1379</v>
      </c>
      <c r="D20" s="387">
        <v>7620</v>
      </c>
    </row>
    <row r="21" spans="1:4" ht="15.95" customHeight="1" x14ac:dyDescent="0.25">
      <c r="A21" s="919" t="s">
        <v>221</v>
      </c>
      <c r="B21" s="388" t="s">
        <v>600</v>
      </c>
      <c r="C21" s="920" t="s">
        <v>1379</v>
      </c>
      <c r="D21" s="387">
        <v>6000</v>
      </c>
    </row>
    <row r="22" spans="1:4" ht="15.95" customHeight="1" x14ac:dyDescent="0.25">
      <c r="A22" s="919" t="s">
        <v>223</v>
      </c>
      <c r="B22" s="389" t="s">
        <v>602</v>
      </c>
      <c r="C22" s="920" t="s">
        <v>1379</v>
      </c>
      <c r="D22" s="390">
        <v>2500</v>
      </c>
    </row>
    <row r="23" spans="1:4" ht="15.95" customHeight="1" x14ac:dyDescent="0.25">
      <c r="A23" s="919" t="s">
        <v>224</v>
      </c>
      <c r="B23" s="386" t="s">
        <v>604</v>
      </c>
      <c r="C23" s="920" t="s">
        <v>1379</v>
      </c>
      <c r="D23" s="387">
        <v>500</v>
      </c>
    </row>
    <row r="24" spans="1:4" ht="15.95" customHeight="1" x14ac:dyDescent="0.2">
      <c r="A24" s="918"/>
      <c r="B24" s="1016" t="s">
        <v>651</v>
      </c>
      <c r="C24" s="920" t="s">
        <v>1379</v>
      </c>
      <c r="D24" s="990">
        <f>SUM(D25:D35)-D26</f>
        <v>74242</v>
      </c>
    </row>
    <row r="25" spans="1:4" ht="15.95" customHeight="1" x14ac:dyDescent="0.2">
      <c r="A25" s="919" t="s">
        <v>1384</v>
      </c>
      <c r="B25" s="392" t="s">
        <v>651</v>
      </c>
      <c r="C25" s="920" t="s">
        <v>1379</v>
      </c>
      <c r="D25" s="393">
        <f>SUM(D26:D34)-D29-D28</f>
        <v>33226</v>
      </c>
    </row>
    <row r="26" spans="1:4" ht="15.95" customHeight="1" x14ac:dyDescent="0.25">
      <c r="A26" s="919" t="s">
        <v>1385</v>
      </c>
      <c r="B26" s="386" t="s">
        <v>653</v>
      </c>
      <c r="C26" s="920" t="s">
        <v>1379</v>
      </c>
      <c r="D26" s="387">
        <v>1000</v>
      </c>
    </row>
    <row r="27" spans="1:4" ht="15.95" customHeight="1" x14ac:dyDescent="0.25">
      <c r="A27" s="919" t="s">
        <v>1386</v>
      </c>
      <c r="B27" s="386" t="s">
        <v>655</v>
      </c>
      <c r="C27" s="920" t="s">
        <v>1379</v>
      </c>
      <c r="D27" s="387">
        <f>SUM(D28:D29)</f>
        <v>790</v>
      </c>
    </row>
    <row r="28" spans="1:4" ht="15.95" customHeight="1" x14ac:dyDescent="0.25">
      <c r="A28" s="919" t="s">
        <v>1387</v>
      </c>
      <c r="B28" s="395" t="s">
        <v>657</v>
      </c>
      <c r="C28" s="920" t="s">
        <v>1379</v>
      </c>
      <c r="D28" s="396">
        <v>390</v>
      </c>
    </row>
    <row r="29" spans="1:4" ht="15.95" customHeight="1" x14ac:dyDescent="0.25">
      <c r="A29" s="919" t="s">
        <v>1388</v>
      </c>
      <c r="B29" s="395" t="s">
        <v>659</v>
      </c>
      <c r="C29" s="920" t="s">
        <v>1379</v>
      </c>
      <c r="D29" s="396">
        <v>400</v>
      </c>
    </row>
    <row r="30" spans="1:4" ht="15.95" customHeight="1" x14ac:dyDescent="0.25">
      <c r="A30" s="919" t="s">
        <v>1389</v>
      </c>
      <c r="B30" s="386" t="s">
        <v>662</v>
      </c>
      <c r="C30" s="920" t="s">
        <v>1379</v>
      </c>
      <c r="D30" s="387">
        <v>25000</v>
      </c>
    </row>
    <row r="31" spans="1:4" ht="15.95" customHeight="1" x14ac:dyDescent="0.25">
      <c r="A31" s="919" t="s">
        <v>1390</v>
      </c>
      <c r="B31" s="388" t="s">
        <v>664</v>
      </c>
      <c r="C31" s="920" t="s">
        <v>1379</v>
      </c>
      <c r="D31" s="387">
        <v>1000</v>
      </c>
    </row>
    <row r="32" spans="1:4" ht="15.95" customHeight="1" x14ac:dyDescent="0.25">
      <c r="A32" s="919" t="s">
        <v>1391</v>
      </c>
      <c r="B32" s="388" t="s">
        <v>666</v>
      </c>
      <c r="C32" s="920" t="s">
        <v>1379</v>
      </c>
      <c r="D32" s="387">
        <v>2800</v>
      </c>
    </row>
    <row r="33" spans="1:4" ht="15.95" customHeight="1" x14ac:dyDescent="0.25">
      <c r="A33" s="919" t="s">
        <v>1392</v>
      </c>
      <c r="B33" s="386" t="s">
        <v>668</v>
      </c>
      <c r="C33" s="920" t="s">
        <v>1379</v>
      </c>
      <c r="D33" s="387">
        <v>2136</v>
      </c>
    </row>
    <row r="34" spans="1:4" ht="15.95" customHeight="1" x14ac:dyDescent="0.25">
      <c r="A34" s="919" t="s">
        <v>1393</v>
      </c>
      <c r="B34" s="388" t="s">
        <v>1510</v>
      </c>
      <c r="C34" s="920" t="s">
        <v>1379</v>
      </c>
      <c r="D34" s="387">
        <v>500</v>
      </c>
    </row>
    <row r="35" spans="1:4" ht="21" customHeight="1" x14ac:dyDescent="0.2">
      <c r="A35" s="919"/>
      <c r="B35" s="392" t="s">
        <v>683</v>
      </c>
      <c r="C35" s="920" t="s">
        <v>1379</v>
      </c>
      <c r="D35" s="393">
        <v>8000</v>
      </c>
    </row>
    <row r="36" spans="1:4" ht="23.25" customHeight="1" thickBot="1" x14ac:dyDescent="0.35">
      <c r="A36" s="921"/>
      <c r="B36" s="921" t="s">
        <v>1299</v>
      </c>
      <c r="C36" s="921"/>
      <c r="D36" s="921">
        <f>SUM(D35+D25+D14+D2)</f>
        <v>101646</v>
      </c>
    </row>
  </sheetData>
  <sheetProtection selectLockedCells="1" selectUnlockedCells="1"/>
  <printOptions horizontalCentered="1"/>
  <pageMargins left="0.51181102362204722" right="0.23622047244094491" top="1.2598425196850394" bottom="0.70866141732283472" header="0.55118110236220474" footer="0.35433070866141736"/>
  <pageSetup paperSize="9" firstPageNumber="110" orientation="portrait" useFirstPageNumber="1" horizontalDpi="300" verticalDpi="300" r:id="rId1"/>
  <headerFooter alignWithMargins="0">
    <oddHeader>&amp;C&amp;"Times New Roman CE,Félkövér"&amp;14
Kimutatás Vecsés Város Önkormányzat 2013. évi céljellegű támogatásairól&amp;R&amp;"Arial,Normál"&amp;12 16. sz. melléklet
Ezer Ft</oddHeader>
    <oddFooter xml:space="preserve">&amp;C- &amp;P - </oddFooter>
  </headerFooter>
  <rowBreaks count="1" manualBreakCount="1">
    <brk id="36" max="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5" sqref="M35"/>
    </sheetView>
  </sheetViews>
  <sheetFormatPr defaultRowHeight="12.75" x14ac:dyDescent="0.2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zoomScaleNormal="130" workbookViewId="0">
      <selection activeCell="D2" sqref="D2:F4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0.83203125" style="162" customWidth="1"/>
    <col min="4" max="4" width="19" style="162" customWidth="1"/>
    <col min="5" max="6" width="15.6640625" style="162" hidden="1" customWidth="1"/>
    <col min="7" max="7" width="10" style="162" hidden="1" customWidth="1"/>
    <col min="8" max="9" width="10.5" style="162" customWidth="1"/>
    <col min="10" max="12" width="9.33203125" style="162" customWidth="1"/>
    <col min="13" max="16384" width="9.33203125" style="162"/>
  </cols>
  <sheetData>
    <row r="1" spans="1:10" s="449" customFormat="1" ht="21" customHeight="1" x14ac:dyDescent="0.2">
      <c r="A1" s="508"/>
      <c r="B1" s="509"/>
      <c r="C1" s="510"/>
      <c r="D1" s="1609" t="s">
        <v>852</v>
      </c>
      <c r="E1" s="1609"/>
      <c r="F1" s="1609"/>
      <c r="G1" s="1609"/>
    </row>
    <row r="2" spans="1:10" s="165" customFormat="1" ht="30" customHeight="1" x14ac:dyDescent="0.2">
      <c r="A2" s="1573" t="s">
        <v>796</v>
      </c>
      <c r="B2" s="1573"/>
      <c r="C2" s="163" t="s">
        <v>853</v>
      </c>
      <c r="D2" s="1615" t="s">
        <v>1481</v>
      </c>
      <c r="E2" s="469"/>
      <c r="F2" s="469"/>
      <c r="G2" s="469"/>
    </row>
    <row r="3" spans="1:10" s="165" customFormat="1" ht="30" customHeight="1" x14ac:dyDescent="0.2">
      <c r="A3" s="1571" t="s">
        <v>264</v>
      </c>
      <c r="B3" s="1571"/>
      <c r="C3" s="166" t="s">
        <v>854</v>
      </c>
      <c r="D3" s="1616"/>
      <c r="E3" s="450"/>
      <c r="F3" s="450"/>
      <c r="G3" s="450"/>
    </row>
    <row r="4" spans="1:10" s="169" customFormat="1" ht="15.95" customHeight="1" x14ac:dyDescent="0.25">
      <c r="A4" s="167"/>
      <c r="B4" s="167"/>
      <c r="C4" s="167"/>
      <c r="D4" s="1590" t="s">
        <v>1482</v>
      </c>
      <c r="E4" s="1590"/>
      <c r="F4" s="1590"/>
      <c r="G4" s="168" t="s">
        <v>196</v>
      </c>
    </row>
    <row r="5" spans="1:10" ht="35.2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10" s="175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  <c r="H6" s="1685"/>
      <c r="I6" s="1685"/>
      <c r="J6" s="1685"/>
    </row>
    <row r="7" spans="1:10" s="175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10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 t="e">
        <f>F8/E8*100</f>
        <v>#DIV/0!</v>
      </c>
      <c r="H8" s="531"/>
      <c r="I8" s="531"/>
    </row>
    <row r="9" spans="1:10" s="183" customFormat="1" ht="15" customHeight="1" x14ac:dyDescent="0.2">
      <c r="A9" s="192"/>
      <c r="B9" s="185" t="s">
        <v>103</v>
      </c>
      <c r="C9" s="19" t="s">
        <v>23</v>
      </c>
      <c r="D9" s="257"/>
      <c r="E9" s="257"/>
      <c r="F9" s="257"/>
      <c r="G9" s="257"/>
      <c r="H9" s="531"/>
      <c r="I9" s="531"/>
    </row>
    <row r="10" spans="1:10" s="183" customFormat="1" ht="15" customHeight="1" x14ac:dyDescent="0.2">
      <c r="A10" s="184"/>
      <c r="B10" s="185" t="s">
        <v>105</v>
      </c>
      <c r="C10" s="15" t="s">
        <v>25</v>
      </c>
      <c r="D10" s="255"/>
      <c r="E10" s="255"/>
      <c r="F10" s="255"/>
      <c r="G10" s="255"/>
      <c r="H10" s="531"/>
      <c r="I10" s="531"/>
    </row>
    <row r="11" spans="1:10" s="183" customFormat="1" ht="15" customHeight="1" x14ac:dyDescent="0.2">
      <c r="A11" s="184"/>
      <c r="B11" s="185" t="s">
        <v>107</v>
      </c>
      <c r="C11" s="15" t="s">
        <v>27</v>
      </c>
      <c r="D11" s="255"/>
      <c r="E11" s="255"/>
      <c r="F11" s="255"/>
      <c r="G11" s="255" t="e">
        <f>F11/E11*100</f>
        <v>#DIV/0!</v>
      </c>
      <c r="H11" s="531"/>
      <c r="I11" s="531"/>
    </row>
    <row r="12" spans="1:10" s="183" customFormat="1" ht="15" customHeight="1" x14ac:dyDescent="0.2">
      <c r="A12" s="184"/>
      <c r="B12" s="185" t="s">
        <v>109</v>
      </c>
      <c r="C12" s="15" t="s">
        <v>29</v>
      </c>
      <c r="D12" s="255"/>
      <c r="E12" s="255"/>
      <c r="F12" s="255"/>
      <c r="G12" s="255"/>
      <c r="H12" s="531"/>
      <c r="I12" s="531"/>
    </row>
    <row r="13" spans="1:10" s="183" customFormat="1" ht="15" customHeight="1" x14ac:dyDescent="0.2">
      <c r="A13" s="184"/>
      <c r="B13" s="185" t="s">
        <v>451</v>
      </c>
      <c r="C13" s="22" t="s">
        <v>31</v>
      </c>
      <c r="D13" s="255"/>
      <c r="E13" s="255"/>
      <c r="F13" s="255"/>
      <c r="G13" s="255"/>
      <c r="H13" s="531"/>
      <c r="I13" s="531"/>
    </row>
    <row r="14" spans="1:10" s="183" customFormat="1" ht="15" customHeight="1" x14ac:dyDescent="0.2">
      <c r="A14" s="188"/>
      <c r="B14" s="185" t="s">
        <v>454</v>
      </c>
      <c r="C14" s="15" t="s">
        <v>33</v>
      </c>
      <c r="D14" s="256"/>
      <c r="E14" s="256"/>
      <c r="F14" s="256"/>
      <c r="G14" s="256"/>
      <c r="H14" s="531"/>
      <c r="I14" s="531"/>
    </row>
    <row r="15" spans="1:10" s="187" customFormat="1" ht="15" customHeight="1" x14ac:dyDescent="0.2">
      <c r="A15" s="184"/>
      <c r="B15" s="185" t="s">
        <v>457</v>
      </c>
      <c r="C15" s="15" t="s">
        <v>35</v>
      </c>
      <c r="D15" s="255"/>
      <c r="E15" s="255"/>
      <c r="F15" s="255"/>
      <c r="G15" s="255"/>
      <c r="H15" s="531"/>
      <c r="I15" s="531"/>
    </row>
    <row r="16" spans="1:10" s="187" customFormat="1" ht="15" customHeight="1" x14ac:dyDescent="0.2">
      <c r="A16" s="194"/>
      <c r="B16" s="195" t="s">
        <v>459</v>
      </c>
      <c r="C16" s="22" t="s">
        <v>37</v>
      </c>
      <c r="D16" s="258">
        <v>0</v>
      </c>
      <c r="E16" s="258"/>
      <c r="F16" s="258"/>
      <c r="G16" s="258" t="e">
        <f>F16/E16*100</f>
        <v>#DIV/0!</v>
      </c>
      <c r="H16" s="531"/>
      <c r="I16" s="531"/>
    </row>
    <row r="17" spans="1:11" s="183" customFormat="1" ht="15" customHeight="1" x14ac:dyDescent="0.2">
      <c r="A17" s="180" t="s">
        <v>6</v>
      </c>
      <c r="B17" s="181"/>
      <c r="C17" s="182" t="s">
        <v>799</v>
      </c>
      <c r="D17" s="254">
        <f>SUM(D18:D23)-D19</f>
        <v>0</v>
      </c>
      <c r="E17" s="254">
        <f>SUM(E18:E23)-E19</f>
        <v>0</v>
      </c>
      <c r="F17" s="254">
        <f>SUM(F18:F23)-F19</f>
        <v>0</v>
      </c>
      <c r="G17" s="254" t="e">
        <f>F17/E17*100</f>
        <v>#DIV/0!</v>
      </c>
      <c r="H17" s="531"/>
      <c r="I17" s="531"/>
    </row>
    <row r="18" spans="1:11" s="187" customFormat="1" ht="15" customHeight="1" x14ac:dyDescent="0.2">
      <c r="A18" s="184"/>
      <c r="B18" s="185" t="s">
        <v>7</v>
      </c>
      <c r="C18" s="27" t="s">
        <v>800</v>
      </c>
      <c r="D18" s="255"/>
      <c r="E18" s="255"/>
      <c r="F18" s="255"/>
      <c r="G18" s="255" t="e">
        <f>F18/E18*100</f>
        <v>#DIV/0!</v>
      </c>
      <c r="H18" s="531"/>
      <c r="I18" s="531"/>
      <c r="J18" s="201"/>
      <c r="K18" s="201"/>
    </row>
    <row r="19" spans="1:11" s="187" customFormat="1" ht="15" customHeight="1" x14ac:dyDescent="0.2">
      <c r="A19" s="184"/>
      <c r="B19" s="185"/>
      <c r="C19" s="526" t="s">
        <v>841</v>
      </c>
      <c r="D19" s="255"/>
      <c r="E19" s="255"/>
      <c r="F19" s="255"/>
      <c r="G19" s="255" t="e">
        <f>F19/E19*100</f>
        <v>#DIV/0!</v>
      </c>
      <c r="H19" s="531"/>
      <c r="I19" s="531"/>
    </row>
    <row r="20" spans="1:11" s="187" customFormat="1" ht="15" customHeight="1" x14ac:dyDescent="0.2">
      <c r="A20" s="184"/>
      <c r="B20" s="185" t="s">
        <v>7</v>
      </c>
      <c r="C20" s="27" t="s">
        <v>1423</v>
      </c>
      <c r="D20" s="255"/>
      <c r="E20" s="255"/>
      <c r="F20" s="255"/>
      <c r="G20" s="255" t="e">
        <f>F20/E20*100</f>
        <v>#DIV/0!</v>
      </c>
      <c r="H20" s="531"/>
      <c r="I20" s="531"/>
      <c r="J20" s="201"/>
      <c r="K20" s="201"/>
    </row>
    <row r="21" spans="1:11" s="187" customFormat="1" ht="15" customHeight="1" x14ac:dyDescent="0.2">
      <c r="A21" s="184"/>
      <c r="B21" s="185" t="s">
        <v>9</v>
      </c>
      <c r="C21" s="15" t="s">
        <v>801</v>
      </c>
      <c r="D21" s="255"/>
      <c r="E21" s="255"/>
      <c r="F21" s="255"/>
      <c r="G21" s="255"/>
      <c r="H21" s="531"/>
      <c r="I21" s="531"/>
    </row>
    <row r="22" spans="1:11" s="187" customFormat="1" ht="15" customHeight="1" x14ac:dyDescent="0.2">
      <c r="A22" s="184"/>
      <c r="B22" s="185" t="s">
        <v>11</v>
      </c>
      <c r="C22" s="15" t="s">
        <v>802</v>
      </c>
      <c r="D22" s="255"/>
      <c r="E22" s="255"/>
      <c r="F22" s="255"/>
      <c r="G22" s="255"/>
      <c r="H22" s="531"/>
      <c r="I22" s="531"/>
    </row>
    <row r="23" spans="1:11" s="187" customFormat="1" ht="15" customHeight="1" x14ac:dyDescent="0.2">
      <c r="A23" s="184"/>
      <c r="B23" s="185" t="s">
        <v>13</v>
      </c>
      <c r="C23" s="15" t="s">
        <v>803</v>
      </c>
      <c r="D23" s="255"/>
      <c r="E23" s="255"/>
      <c r="F23" s="255"/>
      <c r="G23" s="255"/>
      <c r="H23" s="531"/>
      <c r="I23" s="531"/>
    </row>
    <row r="24" spans="1:11" s="187" customFormat="1" ht="15" customHeight="1" x14ac:dyDescent="0.2">
      <c r="A24" s="180" t="s">
        <v>20</v>
      </c>
      <c r="B24" s="12"/>
      <c r="C24" s="12" t="s">
        <v>804</v>
      </c>
      <c r="D24" s="220">
        <v>0</v>
      </c>
      <c r="E24" s="220">
        <v>0</v>
      </c>
      <c r="F24" s="220">
        <v>0</v>
      </c>
      <c r="G24" s="220"/>
      <c r="H24" s="531"/>
      <c r="I24" s="531"/>
    </row>
    <row r="25" spans="1:11" s="183" customFormat="1" ht="15" customHeight="1" x14ac:dyDescent="0.2">
      <c r="A25" s="180" t="s">
        <v>150</v>
      </c>
      <c r="B25" s="181"/>
      <c r="C25" s="12" t="s">
        <v>846</v>
      </c>
      <c r="D25" s="220">
        <v>0</v>
      </c>
      <c r="E25" s="220">
        <v>0</v>
      </c>
      <c r="F25" s="220">
        <v>0</v>
      </c>
      <c r="G25" s="220"/>
      <c r="H25" s="531"/>
      <c r="I25" s="531"/>
    </row>
    <row r="26" spans="1:11" s="183" customFormat="1" ht="28.5" x14ac:dyDescent="0.2">
      <c r="A26" s="180" t="s">
        <v>39</v>
      </c>
      <c r="B26" s="209"/>
      <c r="C26" s="12" t="s">
        <v>847</v>
      </c>
      <c r="D26" s="266">
        <f>+D27+D28</f>
        <v>0</v>
      </c>
      <c r="E26" s="266">
        <f>+E27+E28</f>
        <v>0</v>
      </c>
      <c r="F26" s="266">
        <f>+F27+F28</f>
        <v>0</v>
      </c>
      <c r="G26" s="266"/>
      <c r="H26" s="531"/>
      <c r="I26" s="531"/>
    </row>
    <row r="27" spans="1:11" s="183" customFormat="1" ht="15" customHeight="1" x14ac:dyDescent="0.2">
      <c r="A27" s="192"/>
      <c r="B27" s="199" t="s">
        <v>40</v>
      </c>
      <c r="C27" s="19" t="s">
        <v>808</v>
      </c>
      <c r="D27" s="267">
        <v>0</v>
      </c>
      <c r="E27" s="267">
        <v>0</v>
      </c>
      <c r="F27" s="267">
        <v>0</v>
      </c>
      <c r="G27" s="267"/>
      <c r="H27" s="531"/>
      <c r="I27" s="531"/>
    </row>
    <row r="28" spans="1:11" s="183" customFormat="1" ht="15" customHeight="1" x14ac:dyDescent="0.2">
      <c r="A28" s="202"/>
      <c r="B28" s="203" t="s">
        <v>41</v>
      </c>
      <c r="C28" s="24" t="s">
        <v>809</v>
      </c>
      <c r="D28" s="261">
        <v>0</v>
      </c>
      <c r="E28" s="261">
        <v>0</v>
      </c>
      <c r="F28" s="261">
        <v>0</v>
      </c>
      <c r="G28" s="261"/>
      <c r="H28" s="531"/>
      <c r="I28" s="531"/>
    </row>
    <row r="29" spans="1:11" s="187" customFormat="1" ht="15" customHeight="1" x14ac:dyDescent="0.25">
      <c r="A29" s="212" t="s">
        <v>49</v>
      </c>
      <c r="B29" s="213"/>
      <c r="C29" s="12" t="s">
        <v>848</v>
      </c>
      <c r="D29" s="220"/>
      <c r="E29" s="220"/>
      <c r="F29" s="220"/>
      <c r="G29" s="220" t="e">
        <f>F29/E29*100</f>
        <v>#DIV/0!</v>
      </c>
      <c r="H29" s="531"/>
      <c r="I29" s="531"/>
    </row>
    <row r="30" spans="1:11" s="187" customFormat="1" ht="15" customHeight="1" x14ac:dyDescent="0.25">
      <c r="A30" s="212"/>
      <c r="B30" s="213"/>
      <c r="C30" s="12" t="s">
        <v>849</v>
      </c>
      <c r="D30" s="220"/>
      <c r="E30" s="220"/>
      <c r="F30" s="220"/>
      <c r="G30" s="220"/>
      <c r="H30" s="531"/>
      <c r="I30" s="531"/>
    </row>
    <row r="31" spans="1:11" s="187" customFormat="1" ht="15" customHeight="1" x14ac:dyDescent="0.2">
      <c r="A31" s="268" t="s">
        <v>179</v>
      </c>
      <c r="B31" s="269"/>
      <c r="C31" s="480" t="s">
        <v>850</v>
      </c>
      <c r="D31" s="270">
        <f>SUM(D8,D17,D24,D25,D26,D29)</f>
        <v>0</v>
      </c>
      <c r="E31" s="270">
        <f>SUM(E8,E17,E24,E25,E26,E29,E30)</f>
        <v>0</v>
      </c>
      <c r="F31" s="270">
        <f>SUM(F8,F17,F24,F25,F26,F29,F30)</f>
        <v>0</v>
      </c>
      <c r="G31" s="270" t="e">
        <f>F31/E31*100</f>
        <v>#DIV/0!</v>
      </c>
      <c r="H31" s="531"/>
      <c r="I31" s="531"/>
    </row>
    <row r="32" spans="1:11" s="187" customFormat="1" ht="15" customHeight="1" x14ac:dyDescent="0.2">
      <c r="A32" s="462"/>
      <c r="B32" s="462"/>
      <c r="C32" s="481"/>
      <c r="D32" s="514"/>
      <c r="E32" s="514"/>
      <c r="F32" s="514"/>
      <c r="G32" s="514"/>
      <c r="H32" s="531"/>
      <c r="I32" s="531"/>
    </row>
    <row r="33" spans="1:9" s="175" customFormat="1" ht="15" customHeight="1" x14ac:dyDescent="0.2">
      <c r="A33" s="268"/>
      <c r="B33" s="269"/>
      <c r="C33" s="513" t="s">
        <v>199</v>
      </c>
      <c r="D33" s="270"/>
      <c r="E33" s="270"/>
      <c r="F33" s="270"/>
      <c r="G33" s="270"/>
      <c r="H33" s="531"/>
      <c r="I33" s="531"/>
    </row>
    <row r="34" spans="1:9" s="232" customFormat="1" ht="15" customHeight="1" x14ac:dyDescent="0.2">
      <c r="A34" s="180" t="s">
        <v>5</v>
      </c>
      <c r="B34" s="12"/>
      <c r="C34" s="67" t="s">
        <v>102</v>
      </c>
      <c r="D34" s="254">
        <f>SUM(D35+D37+D39)</f>
        <v>0</v>
      </c>
      <c r="E34" s="254">
        <f>SUM(E35+E37+E39)</f>
        <v>0</v>
      </c>
      <c r="F34" s="254">
        <f>SUM(F35+F37+F39)</f>
        <v>0</v>
      </c>
      <c r="G34" s="254" t="e">
        <f t="shared" ref="G34:G40" si="0">F34/E34*100</f>
        <v>#DIV/0!</v>
      </c>
      <c r="H34" s="531"/>
      <c r="I34" s="531"/>
    </row>
    <row r="35" spans="1:9" ht="15" customHeight="1" x14ac:dyDescent="0.2">
      <c r="A35" s="204"/>
      <c r="B35" s="231" t="s">
        <v>103</v>
      </c>
      <c r="C35" s="27" t="s">
        <v>104</v>
      </c>
      <c r="D35" s="262"/>
      <c r="E35" s="262"/>
      <c r="F35" s="262"/>
      <c r="G35" s="262" t="e">
        <f t="shared" si="0"/>
        <v>#DIV/0!</v>
      </c>
      <c r="H35" s="531"/>
      <c r="I35" s="531"/>
    </row>
    <row r="36" spans="1:9" ht="15" customHeight="1" x14ac:dyDescent="0.2">
      <c r="A36" s="204"/>
      <c r="B36" s="231"/>
      <c r="C36" s="526" t="s">
        <v>841</v>
      </c>
      <c r="D36" s="532"/>
      <c r="E36" s="532"/>
      <c r="F36" s="532"/>
      <c r="G36" s="532" t="e">
        <f t="shared" si="0"/>
        <v>#DIV/0!</v>
      </c>
      <c r="H36" s="531"/>
      <c r="I36" s="531"/>
    </row>
    <row r="37" spans="1:9" ht="15" customHeight="1" x14ac:dyDescent="0.2">
      <c r="A37" s="184"/>
      <c r="B37" s="200" t="s">
        <v>105</v>
      </c>
      <c r="C37" s="15" t="s">
        <v>106</v>
      </c>
      <c r="D37" s="255"/>
      <c r="E37" s="255"/>
      <c r="F37" s="255"/>
      <c r="G37" s="255" t="e">
        <f t="shared" si="0"/>
        <v>#DIV/0!</v>
      </c>
      <c r="H37" s="531"/>
      <c r="I37" s="531"/>
    </row>
    <row r="38" spans="1:9" ht="15" customHeight="1" x14ac:dyDescent="0.2">
      <c r="A38" s="184"/>
      <c r="B38" s="200"/>
      <c r="C38" s="526" t="s">
        <v>841</v>
      </c>
      <c r="D38" s="532"/>
      <c r="E38" s="532"/>
      <c r="F38" s="532"/>
      <c r="G38" s="532" t="e">
        <f t="shared" si="0"/>
        <v>#DIV/0!</v>
      </c>
      <c r="H38" s="531"/>
      <c r="I38" s="531"/>
    </row>
    <row r="39" spans="1:9" ht="15" customHeight="1" x14ac:dyDescent="0.2">
      <c r="A39" s="184"/>
      <c r="B39" s="200" t="s">
        <v>107</v>
      </c>
      <c r="C39" s="15" t="s">
        <v>108</v>
      </c>
      <c r="D39" s="255"/>
      <c r="E39" s="255"/>
      <c r="F39" s="255"/>
      <c r="G39" s="255" t="e">
        <f t="shared" si="0"/>
        <v>#DIV/0!</v>
      </c>
      <c r="H39" s="531"/>
      <c r="I39" s="531"/>
    </row>
    <row r="40" spans="1:9" ht="15" customHeight="1" x14ac:dyDescent="0.2">
      <c r="A40" s="184"/>
      <c r="B40" s="200"/>
      <c r="C40" s="526" t="s">
        <v>841</v>
      </c>
      <c r="D40" s="532"/>
      <c r="E40" s="532"/>
      <c r="F40" s="532"/>
      <c r="G40" s="532" t="e">
        <f t="shared" si="0"/>
        <v>#DIV/0!</v>
      </c>
      <c r="H40" s="531"/>
      <c r="I40" s="531"/>
    </row>
    <row r="41" spans="1:9" ht="15" customHeight="1" x14ac:dyDescent="0.2">
      <c r="A41" s="184"/>
      <c r="B41" s="200" t="s">
        <v>109</v>
      </c>
      <c r="C41" s="15" t="s">
        <v>110</v>
      </c>
      <c r="D41" s="255"/>
      <c r="E41" s="255"/>
      <c r="F41" s="255"/>
      <c r="G41" s="255"/>
      <c r="H41" s="531"/>
      <c r="I41" s="531"/>
    </row>
    <row r="42" spans="1:9" ht="15" customHeight="1" x14ac:dyDescent="0.2">
      <c r="A42" s="184"/>
      <c r="B42" s="200" t="s">
        <v>111</v>
      </c>
      <c r="C42" s="15" t="s">
        <v>112</v>
      </c>
      <c r="D42" s="255">
        <v>0</v>
      </c>
      <c r="E42" s="255">
        <v>0</v>
      </c>
      <c r="F42" s="255">
        <v>0</v>
      </c>
      <c r="G42" s="255"/>
      <c r="H42" s="531"/>
      <c r="I42" s="531"/>
    </row>
    <row r="43" spans="1:9" ht="15" customHeight="1" x14ac:dyDescent="0.2">
      <c r="A43" s="180" t="s">
        <v>6</v>
      </c>
      <c r="B43" s="12"/>
      <c r="C43" s="67" t="s">
        <v>823</v>
      </c>
      <c r="D43" s="254">
        <f>SUM(D44:D47)</f>
        <v>0</v>
      </c>
      <c r="E43" s="254">
        <f>SUM(E44:E47)</f>
        <v>0</v>
      </c>
      <c r="F43" s="254">
        <f>SUM(F44:F47)</f>
        <v>0</v>
      </c>
      <c r="G43" s="254"/>
      <c r="H43" s="531"/>
      <c r="I43" s="531"/>
    </row>
    <row r="44" spans="1:9" s="232" customFormat="1" ht="15" customHeight="1" x14ac:dyDescent="0.2">
      <c r="A44" s="204"/>
      <c r="B44" s="231" t="s">
        <v>7</v>
      </c>
      <c r="C44" s="27" t="s">
        <v>816</v>
      </c>
      <c r="D44" s="262">
        <v>0</v>
      </c>
      <c r="E44" s="262">
        <v>0</v>
      </c>
      <c r="F44" s="262">
        <v>0</v>
      </c>
      <c r="G44" s="262"/>
      <c r="H44" s="531"/>
      <c r="I44" s="531"/>
    </row>
    <row r="45" spans="1:9" ht="15" customHeight="1" x14ac:dyDescent="0.2">
      <c r="A45" s="184"/>
      <c r="B45" s="200" t="s">
        <v>9</v>
      </c>
      <c r="C45" s="15" t="s">
        <v>135</v>
      </c>
      <c r="D45" s="255">
        <v>0</v>
      </c>
      <c r="E45" s="255">
        <v>0</v>
      </c>
      <c r="F45" s="255">
        <v>0</v>
      </c>
      <c r="G45" s="255"/>
      <c r="H45" s="531"/>
      <c r="I45" s="531"/>
    </row>
    <row r="46" spans="1:9" ht="30" customHeight="1" x14ac:dyDescent="0.2">
      <c r="A46" s="184"/>
      <c r="B46" s="200" t="s">
        <v>15</v>
      </c>
      <c r="C46" s="15" t="s">
        <v>138</v>
      </c>
      <c r="D46" s="255">
        <v>0</v>
      </c>
      <c r="E46" s="255">
        <v>0</v>
      </c>
      <c r="F46" s="255">
        <v>0</v>
      </c>
      <c r="G46" s="255"/>
      <c r="H46" s="531"/>
      <c r="I46" s="531"/>
    </row>
    <row r="47" spans="1:9" ht="15" customHeight="1" x14ac:dyDescent="0.2">
      <c r="A47" s="184"/>
      <c r="B47" s="200" t="s">
        <v>19</v>
      </c>
      <c r="C47" s="15" t="s">
        <v>817</v>
      </c>
      <c r="D47" s="255">
        <v>0</v>
      </c>
      <c r="E47" s="255">
        <v>0</v>
      </c>
      <c r="F47" s="255">
        <v>0</v>
      </c>
      <c r="G47" s="255"/>
      <c r="H47" s="531"/>
      <c r="I47" s="531"/>
    </row>
    <row r="48" spans="1:9" ht="15" customHeight="1" x14ac:dyDescent="0.2">
      <c r="A48" s="180" t="s">
        <v>20</v>
      </c>
      <c r="B48" s="12"/>
      <c r="C48" s="67" t="s">
        <v>818</v>
      </c>
      <c r="D48" s="220">
        <v>0</v>
      </c>
      <c r="E48" s="220">
        <v>0</v>
      </c>
      <c r="F48" s="220">
        <v>0</v>
      </c>
      <c r="G48" s="220"/>
      <c r="H48" s="531"/>
      <c r="I48" s="531"/>
    </row>
    <row r="49" spans="1:9" s="187" customFormat="1" ht="15" customHeight="1" x14ac:dyDescent="0.2">
      <c r="A49" s="180"/>
      <c r="B49" s="12"/>
      <c r="C49" s="67" t="s">
        <v>819</v>
      </c>
      <c r="D49" s="220"/>
      <c r="E49" s="220"/>
      <c r="F49" s="220"/>
      <c r="G49" s="220"/>
      <c r="H49" s="531"/>
      <c r="I49" s="531"/>
    </row>
    <row r="50" spans="1:9" ht="15" customHeight="1" x14ac:dyDescent="0.2">
      <c r="A50" s="268" t="s">
        <v>150</v>
      </c>
      <c r="B50" s="269"/>
      <c r="C50" s="480" t="s">
        <v>820</v>
      </c>
      <c r="D50" s="270">
        <f>+D34+D43+D48</f>
        <v>0</v>
      </c>
      <c r="E50" s="270">
        <f>+E34+E43+E48+E49</f>
        <v>0</v>
      </c>
      <c r="F50" s="270">
        <f>+F34+F43+F48+F49</f>
        <v>0</v>
      </c>
      <c r="G50" s="270" t="e">
        <f>F50/E50*100</f>
        <v>#DIV/0!</v>
      </c>
      <c r="H50" s="531"/>
      <c r="I50" s="531"/>
    </row>
    <row r="51" spans="1:9" ht="15" customHeight="1" x14ac:dyDescent="0.2">
      <c r="A51" s="530"/>
      <c r="B51" s="462"/>
      <c r="C51" s="481" t="s">
        <v>851</v>
      </c>
      <c r="D51" s="514">
        <f>SUM(D36+D38+D40)</f>
        <v>0</v>
      </c>
      <c r="E51" s="514">
        <f>SUM(E36+E38+E40)</f>
        <v>0</v>
      </c>
      <c r="F51" s="514">
        <f>SUM(F36+F38+F40)</f>
        <v>0</v>
      </c>
      <c r="G51" s="514" t="e">
        <f>F51/E51*100</f>
        <v>#DIV/0!</v>
      </c>
      <c r="H51" s="531"/>
      <c r="I51" s="531"/>
    </row>
    <row r="52" spans="1:9" ht="15" customHeight="1" x14ac:dyDescent="0.2">
      <c r="A52" s="244" t="s">
        <v>297</v>
      </c>
      <c r="B52" s="245"/>
      <c r="C52" s="246"/>
      <c r="D52" s="482"/>
      <c r="E52" s="482"/>
      <c r="F52" s="482"/>
      <c r="G52" s="482"/>
      <c r="H52" s="531"/>
      <c r="I52" s="531"/>
    </row>
    <row r="53" spans="1:9" ht="15" customHeight="1" x14ac:dyDescent="0.2">
      <c r="A53" s="244" t="s">
        <v>298</v>
      </c>
      <c r="B53" s="245"/>
      <c r="C53" s="246"/>
      <c r="D53" s="482"/>
      <c r="E53" s="482"/>
      <c r="F53" s="482"/>
      <c r="G53" s="482"/>
    </row>
  </sheetData>
  <sheetProtection selectLockedCells="1" selectUnlockedCells="1"/>
  <mergeCells count="7">
    <mergeCell ref="H6:J6"/>
    <mergeCell ref="D2:D3"/>
    <mergeCell ref="D1:G1"/>
    <mergeCell ref="A2:B2"/>
    <mergeCell ref="A3:B3"/>
    <mergeCell ref="D4:F4"/>
    <mergeCell ref="A5:B5"/>
  </mergeCells>
  <printOptions horizontalCentered="1"/>
  <pageMargins left="0.23622047244094491" right="0.23622047244094491" top="0.31496062992125984" bottom="0.39370078740157483" header="0.51181102362204722" footer="0.19685039370078741"/>
  <pageSetup paperSize="9" scale="82" firstPageNumber="42" orientation="portrait" useFirstPageNumber="1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30" workbookViewId="0">
      <selection activeCell="D2" sqref="D2:F4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2.83203125" style="162" customWidth="1"/>
    <col min="4" max="4" width="20.5" style="162" customWidth="1"/>
    <col min="5" max="6" width="13.33203125" style="162" hidden="1" customWidth="1"/>
    <col min="7" max="7" width="9.5" style="162" hidden="1" customWidth="1"/>
    <col min="8" max="16384" width="9.33203125" style="162"/>
  </cols>
  <sheetData>
    <row r="1" spans="1:7" s="449" customFormat="1" ht="21" customHeight="1" x14ac:dyDescent="0.2">
      <c r="A1" s="508"/>
      <c r="B1" s="509"/>
      <c r="C1" s="510"/>
      <c r="D1" s="1609" t="s">
        <v>855</v>
      </c>
      <c r="E1" s="1609"/>
      <c r="F1" s="1609"/>
      <c r="G1" s="1609"/>
    </row>
    <row r="2" spans="1:7" s="165" customFormat="1" ht="29.25" customHeight="1" x14ac:dyDescent="0.2">
      <c r="A2" s="1613" t="s">
        <v>796</v>
      </c>
      <c r="B2" s="1613"/>
      <c r="C2" s="533" t="s">
        <v>853</v>
      </c>
      <c r="D2" s="1615" t="s">
        <v>1481</v>
      </c>
      <c r="E2" s="469"/>
      <c r="F2" s="469"/>
      <c r="G2" s="511"/>
    </row>
    <row r="3" spans="1:7" s="165" customFormat="1" ht="30" customHeight="1" x14ac:dyDescent="0.2">
      <c r="A3" s="1614" t="s">
        <v>264</v>
      </c>
      <c r="B3" s="1614"/>
      <c r="C3" s="534" t="s">
        <v>856</v>
      </c>
      <c r="D3" s="1616"/>
      <c r="E3" s="450"/>
      <c r="F3" s="450"/>
      <c r="G3" s="512"/>
    </row>
    <row r="4" spans="1:7" s="169" customFormat="1" ht="15" customHeight="1" x14ac:dyDescent="0.25">
      <c r="A4" s="470"/>
      <c r="B4" s="470"/>
      <c r="C4" s="470"/>
      <c r="D4" s="1590" t="s">
        <v>1482</v>
      </c>
      <c r="E4" s="1590"/>
      <c r="F4" s="1590"/>
      <c r="G4" s="471" t="s">
        <v>196</v>
      </c>
    </row>
    <row r="5" spans="1:7" ht="30.75" customHeight="1" x14ac:dyDescent="0.2">
      <c r="A5" s="1612" t="s">
        <v>266</v>
      </c>
      <c r="B5" s="1612"/>
      <c r="C5" s="472" t="s">
        <v>267</v>
      </c>
      <c r="D5" s="473" t="s">
        <v>268</v>
      </c>
      <c r="E5" s="473" t="s">
        <v>269</v>
      </c>
      <c r="F5" s="473" t="s">
        <v>857</v>
      </c>
      <c r="G5" s="473" t="s">
        <v>3</v>
      </c>
    </row>
    <row r="6" spans="1:7" s="175" customFormat="1" ht="15" customHeight="1" x14ac:dyDescent="0.2">
      <c r="A6" s="180">
        <v>1</v>
      </c>
      <c r="B6" s="474">
        <v>2</v>
      </c>
      <c r="C6" s="474">
        <v>3</v>
      </c>
      <c r="D6" s="475">
        <v>4</v>
      </c>
      <c r="E6" s="475">
        <v>5</v>
      </c>
      <c r="F6" s="475">
        <v>6</v>
      </c>
      <c r="G6" s="475">
        <v>7</v>
      </c>
    </row>
    <row r="7" spans="1:7" s="175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/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>
        <v>0</v>
      </c>
      <c r="E9" s="257">
        <v>0</v>
      </c>
      <c r="F9" s="257">
        <v>0</v>
      </c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>
        <v>0</v>
      </c>
      <c r="E10" s="255">
        <v>0</v>
      </c>
      <c r="F10" s="255">
        <v>0</v>
      </c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>
        <v>0</v>
      </c>
      <c r="E11" s="255">
        <v>0</v>
      </c>
      <c r="F11" s="255">
        <v>0</v>
      </c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>
        <v>0</v>
      </c>
      <c r="E12" s="255">
        <v>0</v>
      </c>
      <c r="F12" s="255">
        <v>0</v>
      </c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>
        <v>0</v>
      </c>
      <c r="E13" s="255">
        <v>0</v>
      </c>
      <c r="F13" s="255">
        <v>0</v>
      </c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>
        <v>0</v>
      </c>
      <c r="E14" s="256">
        <v>0</v>
      </c>
      <c r="F14" s="256">
        <v>0</v>
      </c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>
        <v>0</v>
      </c>
      <c r="E15" s="255">
        <v>0</v>
      </c>
      <c r="F15" s="255">
        <v>0</v>
      </c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>
        <v>0</v>
      </c>
      <c r="E16" s="258"/>
      <c r="F16" s="258"/>
      <c r="G16" s="258"/>
    </row>
    <row r="17" spans="1:9" s="183" customFormat="1" ht="15" customHeight="1" x14ac:dyDescent="0.2">
      <c r="A17" s="180" t="s">
        <v>6</v>
      </c>
      <c r="B17" s="181"/>
      <c r="C17" s="182" t="s">
        <v>799</v>
      </c>
      <c r="D17" s="254">
        <f>SUM(D18:D21)</f>
        <v>0</v>
      </c>
      <c r="E17" s="254">
        <f>SUM(E18:E21)</f>
        <v>0</v>
      </c>
      <c r="F17" s="254">
        <f>SUM(F18:F21)</f>
        <v>0</v>
      </c>
      <c r="G17" s="254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800</v>
      </c>
      <c r="D18" s="255"/>
      <c r="E18" s="255"/>
      <c r="F18" s="255"/>
      <c r="G18" s="255" t="e">
        <f>F18/E18*100</f>
        <v>#DIV/0!</v>
      </c>
    </row>
    <row r="19" spans="1:9" s="187" customFormat="1" ht="15" customHeight="1" x14ac:dyDescent="0.2">
      <c r="A19" s="184"/>
      <c r="B19" s="185" t="s">
        <v>9</v>
      </c>
      <c r="C19" s="15" t="s">
        <v>801</v>
      </c>
      <c r="D19" s="255"/>
      <c r="E19" s="255"/>
      <c r="F19" s="255"/>
      <c r="G19" s="255"/>
    </row>
    <row r="20" spans="1:9" s="187" customFormat="1" ht="15" customHeight="1" x14ac:dyDescent="0.2">
      <c r="A20" s="184"/>
      <c r="B20" s="185" t="s">
        <v>11</v>
      </c>
      <c r="C20" s="15" t="s">
        <v>802</v>
      </c>
      <c r="D20" s="255"/>
      <c r="E20" s="255"/>
      <c r="F20" s="255"/>
      <c r="G20" s="255"/>
    </row>
    <row r="21" spans="1:9" s="187" customFormat="1" ht="15" customHeight="1" x14ac:dyDescent="0.2">
      <c r="A21" s="184"/>
      <c r="B21" s="185" t="s">
        <v>13</v>
      </c>
      <c r="C21" s="15" t="s">
        <v>803</v>
      </c>
      <c r="D21" s="255"/>
      <c r="E21" s="255"/>
      <c r="F21" s="255"/>
      <c r="G21" s="255"/>
    </row>
    <row r="22" spans="1:9" s="187" customFormat="1" ht="15" customHeight="1" x14ac:dyDescent="0.2">
      <c r="A22" s="180" t="s">
        <v>20</v>
      </c>
      <c r="B22" s="12"/>
      <c r="C22" s="12" t="s">
        <v>804</v>
      </c>
      <c r="D22" s="220">
        <v>0</v>
      </c>
      <c r="E22" s="220">
        <v>0</v>
      </c>
      <c r="F22" s="220">
        <v>0</v>
      </c>
      <c r="G22" s="220"/>
    </row>
    <row r="23" spans="1:9" s="183" customFormat="1" ht="15" customHeight="1" x14ac:dyDescent="0.2">
      <c r="A23" s="180" t="s">
        <v>150</v>
      </c>
      <c r="B23" s="181"/>
      <c r="C23" s="12" t="s">
        <v>846</v>
      </c>
      <c r="D23" s="220">
        <v>0</v>
      </c>
      <c r="E23" s="220">
        <v>0</v>
      </c>
      <c r="F23" s="220">
        <v>0</v>
      </c>
      <c r="G23" s="220"/>
    </row>
    <row r="24" spans="1:9" s="183" customFormat="1" ht="15" customHeight="1" x14ac:dyDescent="0.2">
      <c r="A24" s="180" t="s">
        <v>39</v>
      </c>
      <c r="B24" s="209"/>
      <c r="C24" s="12" t="s">
        <v>847</v>
      </c>
      <c r="D24" s="266">
        <f>+D25+D26</f>
        <v>0</v>
      </c>
      <c r="E24" s="266">
        <f>+E25+E26</f>
        <v>0</v>
      </c>
      <c r="F24" s="266">
        <f>+F25+F26</f>
        <v>0</v>
      </c>
      <c r="G24" s="266"/>
    </row>
    <row r="25" spans="1:9" s="183" customFormat="1" ht="15" customHeight="1" x14ac:dyDescent="0.2">
      <c r="A25" s="192"/>
      <c r="B25" s="199" t="s">
        <v>40</v>
      </c>
      <c r="C25" s="19" t="s">
        <v>808</v>
      </c>
      <c r="D25" s="267">
        <v>0</v>
      </c>
      <c r="E25" s="267">
        <v>0</v>
      </c>
      <c r="F25" s="267">
        <v>0</v>
      </c>
      <c r="G25" s="267"/>
    </row>
    <row r="26" spans="1:9" s="183" customFormat="1" ht="15" customHeight="1" x14ac:dyDescent="0.2">
      <c r="A26" s="202"/>
      <c r="B26" s="203" t="s">
        <v>41</v>
      </c>
      <c r="C26" s="24" t="s">
        <v>809</v>
      </c>
      <c r="D26" s="261">
        <v>0</v>
      </c>
      <c r="E26" s="261">
        <v>0</v>
      </c>
      <c r="F26" s="261">
        <v>0</v>
      </c>
      <c r="G26" s="261"/>
    </row>
    <row r="27" spans="1:9" s="187" customFormat="1" ht="15" customHeight="1" x14ac:dyDescent="0.25">
      <c r="A27" s="212" t="s">
        <v>49</v>
      </c>
      <c r="B27" s="213"/>
      <c r="C27" s="12" t="s">
        <v>848</v>
      </c>
      <c r="D27" s="220"/>
      <c r="E27" s="220"/>
      <c r="F27" s="220"/>
      <c r="G27" s="220" t="e">
        <f>F27/E27*100</f>
        <v>#DIV/0!</v>
      </c>
    </row>
    <row r="28" spans="1:9" s="187" customFormat="1" ht="15" customHeight="1" x14ac:dyDescent="0.25">
      <c r="A28" s="212"/>
      <c r="B28" s="213"/>
      <c r="C28" s="12" t="s">
        <v>849</v>
      </c>
      <c r="D28" s="220"/>
      <c r="E28" s="220"/>
      <c r="F28" s="220"/>
      <c r="G28" s="220"/>
    </row>
    <row r="29" spans="1:9" s="187" customFormat="1" ht="15" customHeight="1" x14ac:dyDescent="0.2">
      <c r="A29" s="268" t="s">
        <v>179</v>
      </c>
      <c r="B29" s="269"/>
      <c r="C29" s="480" t="s">
        <v>850</v>
      </c>
      <c r="D29" s="270">
        <f>SUM(D8,D17,D22,D23,D24,D27)</f>
        <v>0</v>
      </c>
      <c r="E29" s="270">
        <f>SUM(E8,E17,E22,E23,E24,E27,E28)</f>
        <v>0</v>
      </c>
      <c r="F29" s="270">
        <f>SUM(F8,F17,F22,F23,F24,F27,F28)</f>
        <v>0</v>
      </c>
      <c r="G29" s="270" t="e">
        <f>F29/E29*100</f>
        <v>#DIV/0!</v>
      </c>
      <c r="I29" s="201"/>
    </row>
    <row r="30" spans="1:9" s="187" customFormat="1" ht="15" customHeight="1" x14ac:dyDescent="0.2">
      <c r="A30" s="462"/>
      <c r="B30" s="462"/>
      <c r="C30" s="481"/>
      <c r="D30" s="273"/>
      <c r="E30" s="273"/>
      <c r="F30" s="273"/>
      <c r="G30" s="273"/>
    </row>
    <row r="31" spans="1:9" s="175" customFormat="1" ht="15" customHeight="1" x14ac:dyDescent="0.2">
      <c r="A31" s="268"/>
      <c r="B31" s="269"/>
      <c r="C31" s="513" t="s">
        <v>199</v>
      </c>
      <c r="D31" s="270"/>
      <c r="E31" s="270"/>
      <c r="F31" s="270"/>
      <c r="G31" s="270"/>
    </row>
    <row r="32" spans="1:9" s="232" customFormat="1" ht="15" customHeight="1" x14ac:dyDescent="0.2">
      <c r="A32" s="180" t="s">
        <v>5</v>
      </c>
      <c r="B32" s="12"/>
      <c r="C32" s="67" t="s">
        <v>102</v>
      </c>
      <c r="D32" s="254">
        <f>SUM(D33:D37)</f>
        <v>0</v>
      </c>
      <c r="E32" s="254">
        <f>SUM(E33:E37)</f>
        <v>0</v>
      </c>
      <c r="F32" s="254">
        <f>SUM(F33:F37)</f>
        <v>0</v>
      </c>
      <c r="G32" s="254" t="e">
        <f>F32/E32*100</f>
        <v>#DIV/0!</v>
      </c>
    </row>
    <row r="33" spans="1:7" ht="15" customHeight="1" x14ac:dyDescent="0.2">
      <c r="A33" s="204"/>
      <c r="B33" s="231" t="s">
        <v>103</v>
      </c>
      <c r="C33" s="27" t="s">
        <v>104</v>
      </c>
      <c r="D33" s="262"/>
      <c r="E33" s="262"/>
      <c r="F33" s="262"/>
      <c r="G33" s="262" t="e">
        <f>F33/E33*100</f>
        <v>#DIV/0!</v>
      </c>
    </row>
    <row r="34" spans="1:7" ht="15" customHeight="1" x14ac:dyDescent="0.2">
      <c r="A34" s="184"/>
      <c r="B34" s="200" t="s">
        <v>105</v>
      </c>
      <c r="C34" s="15" t="s">
        <v>106</v>
      </c>
      <c r="D34" s="255"/>
      <c r="E34" s="255"/>
      <c r="F34" s="255"/>
      <c r="G34" s="255" t="e">
        <f>F34/E34*100</f>
        <v>#DIV/0!</v>
      </c>
    </row>
    <row r="35" spans="1:7" ht="15" customHeight="1" x14ac:dyDescent="0.2">
      <c r="A35" s="184"/>
      <c r="B35" s="200" t="s">
        <v>107</v>
      </c>
      <c r="C35" s="15" t="s">
        <v>108</v>
      </c>
      <c r="D35" s="255"/>
      <c r="E35" s="255"/>
      <c r="F35" s="255"/>
      <c r="G35" s="255" t="e">
        <f>F35/E35*100</f>
        <v>#DIV/0!</v>
      </c>
    </row>
    <row r="36" spans="1:7" ht="15" customHeight="1" x14ac:dyDescent="0.2">
      <c r="A36" s="184"/>
      <c r="B36" s="200" t="s">
        <v>109</v>
      </c>
      <c r="C36" s="15" t="s">
        <v>110</v>
      </c>
      <c r="D36" s="255">
        <v>0</v>
      </c>
      <c r="E36" s="255">
        <v>0</v>
      </c>
      <c r="F36" s="255">
        <v>0</v>
      </c>
      <c r="G36" s="255"/>
    </row>
    <row r="37" spans="1:7" ht="15" customHeight="1" x14ac:dyDescent="0.2">
      <c r="A37" s="184"/>
      <c r="B37" s="200" t="s">
        <v>111</v>
      </c>
      <c r="C37" s="15" t="s">
        <v>112</v>
      </c>
      <c r="D37" s="255">
        <v>0</v>
      </c>
      <c r="E37" s="255">
        <v>0</v>
      </c>
      <c r="F37" s="255">
        <v>0</v>
      </c>
      <c r="G37" s="255"/>
    </row>
    <row r="38" spans="1:7" ht="15" customHeight="1" x14ac:dyDescent="0.2">
      <c r="A38" s="180" t="s">
        <v>6</v>
      </c>
      <c r="B38" s="12"/>
      <c r="C38" s="67" t="s">
        <v>823</v>
      </c>
      <c r="D38" s="254">
        <f>SUM(D39:D42)</f>
        <v>0</v>
      </c>
      <c r="E38" s="254">
        <f>SUM(E39:E42)</f>
        <v>0</v>
      </c>
      <c r="F38" s="254">
        <f>SUM(F39:F42)</f>
        <v>0</v>
      </c>
      <c r="G38" s="254" t="e">
        <f>F38/E38*100</f>
        <v>#DIV/0!</v>
      </c>
    </row>
    <row r="39" spans="1:7" s="232" customFormat="1" ht="15" customHeight="1" x14ac:dyDescent="0.2">
      <c r="A39" s="204"/>
      <c r="B39" s="231" t="s">
        <v>7</v>
      </c>
      <c r="C39" s="27" t="s">
        <v>816</v>
      </c>
      <c r="D39" s="262">
        <v>0</v>
      </c>
      <c r="E39" s="262"/>
      <c r="F39" s="262"/>
      <c r="G39" s="262" t="e">
        <f>F39/E39*100</f>
        <v>#DIV/0!</v>
      </c>
    </row>
    <row r="40" spans="1:7" ht="15" customHeight="1" x14ac:dyDescent="0.2">
      <c r="A40" s="184"/>
      <c r="B40" s="200" t="s">
        <v>9</v>
      </c>
      <c r="C40" s="15" t="s">
        <v>135</v>
      </c>
      <c r="D40" s="255">
        <v>0</v>
      </c>
      <c r="E40" s="255">
        <v>0</v>
      </c>
      <c r="F40" s="255">
        <v>0</v>
      </c>
      <c r="G40" s="255"/>
    </row>
    <row r="41" spans="1:7" ht="30" customHeight="1" x14ac:dyDescent="0.2">
      <c r="A41" s="184"/>
      <c r="B41" s="200" t="s">
        <v>15</v>
      </c>
      <c r="C41" s="15" t="s">
        <v>138</v>
      </c>
      <c r="D41" s="255">
        <v>0</v>
      </c>
      <c r="E41" s="255">
        <v>0</v>
      </c>
      <c r="F41" s="255">
        <v>0</v>
      </c>
      <c r="G41" s="255"/>
    </row>
    <row r="42" spans="1:7" ht="15" customHeight="1" x14ac:dyDescent="0.2">
      <c r="A42" s="184"/>
      <c r="B42" s="200" t="s">
        <v>19</v>
      </c>
      <c r="C42" s="15" t="s">
        <v>817</v>
      </c>
      <c r="D42" s="255">
        <v>0</v>
      </c>
      <c r="E42" s="255">
        <v>0</v>
      </c>
      <c r="F42" s="255">
        <v>0</v>
      </c>
      <c r="G42" s="255"/>
    </row>
    <row r="43" spans="1:7" ht="15" customHeight="1" x14ac:dyDescent="0.2">
      <c r="A43" s="180" t="s">
        <v>20</v>
      </c>
      <c r="B43" s="12"/>
      <c r="C43" s="67" t="s">
        <v>818</v>
      </c>
      <c r="D43" s="220">
        <v>0</v>
      </c>
      <c r="E43" s="220">
        <v>0</v>
      </c>
      <c r="F43" s="220">
        <v>0</v>
      </c>
      <c r="G43" s="220"/>
    </row>
    <row r="44" spans="1:7" s="187" customFormat="1" ht="15" customHeight="1" x14ac:dyDescent="0.2">
      <c r="A44" s="180"/>
      <c r="B44" s="12"/>
      <c r="C44" s="67" t="s">
        <v>819</v>
      </c>
      <c r="D44" s="220"/>
      <c r="E44" s="220"/>
      <c r="F44" s="220"/>
      <c r="G44" s="220"/>
    </row>
    <row r="45" spans="1:7" ht="15" customHeight="1" x14ac:dyDescent="0.2">
      <c r="A45" s="268" t="s">
        <v>150</v>
      </c>
      <c r="B45" s="269"/>
      <c r="C45" s="480" t="s">
        <v>820</v>
      </c>
      <c r="D45" s="270">
        <f>+D32+D38+D43</f>
        <v>0</v>
      </c>
      <c r="E45" s="270">
        <f>+E32+E38+E43+E44</f>
        <v>0</v>
      </c>
      <c r="F45" s="270">
        <f>+F32+F38+F43+F44</f>
        <v>0</v>
      </c>
      <c r="G45" s="270" t="e">
        <f>F45/E45*100</f>
        <v>#DIV/0!</v>
      </c>
    </row>
    <row r="46" spans="1:7" ht="15" customHeight="1" x14ac:dyDescent="0.2">
      <c r="A46" s="242"/>
      <c r="B46" s="243"/>
      <c r="C46" s="243"/>
      <c r="D46" s="243"/>
      <c r="E46" s="243"/>
      <c r="F46" s="243"/>
      <c r="G46" s="243"/>
    </row>
    <row r="47" spans="1:7" ht="15" customHeight="1" x14ac:dyDescent="0.2">
      <c r="A47" s="244" t="s">
        <v>297</v>
      </c>
      <c r="B47" s="245"/>
      <c r="C47" s="246"/>
      <c r="D47" s="482"/>
      <c r="E47" s="482"/>
      <c r="F47" s="482"/>
      <c r="G47" s="482"/>
    </row>
    <row r="48" spans="1:7" ht="15" customHeight="1" x14ac:dyDescent="0.2">
      <c r="A48" s="244" t="s">
        <v>298</v>
      </c>
      <c r="B48" s="245"/>
      <c r="C48" s="246"/>
      <c r="D48" s="482"/>
      <c r="E48" s="482"/>
      <c r="F48" s="482"/>
      <c r="G48" s="482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78740157480314965" right="0.78740157480314965" top="0.47244094488188981" bottom="0.43307086614173229" header="0.51181102362204722" footer="0.15748031496062992"/>
  <pageSetup paperSize="9" scale="74" firstPageNumber="43" orientation="portrait" useFirstPageNumber="1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view="pageBreakPreview" topLeftCell="A16" zoomScaleNormal="130" workbookViewId="0">
      <selection activeCell="D39" sqref="D39"/>
    </sheetView>
  </sheetViews>
  <sheetFormatPr defaultRowHeight="12.75" x14ac:dyDescent="0.2"/>
  <cols>
    <col min="1" max="1" width="6.83203125" style="161" customWidth="1"/>
    <col min="2" max="2" width="9.6640625" style="162" customWidth="1"/>
    <col min="3" max="3" width="61.5" style="162" customWidth="1"/>
    <col min="4" max="4" width="19.1640625" style="162" customWidth="1"/>
    <col min="5" max="6" width="15.83203125" style="162" hidden="1" customWidth="1"/>
    <col min="7" max="7" width="9" style="162" hidden="1" customWidth="1"/>
    <col min="8" max="11" width="0" style="162" hidden="1" customWidth="1"/>
    <col min="12" max="16384" width="9.33203125" style="162"/>
  </cols>
  <sheetData>
    <row r="1" spans="1:7" s="449" customFormat="1" ht="15.75" customHeight="1" x14ac:dyDescent="0.2">
      <c r="A1" s="446"/>
      <c r="B1" s="447"/>
      <c r="C1" s="448"/>
      <c r="D1" s="1609" t="s">
        <v>858</v>
      </c>
      <c r="E1" s="1609"/>
      <c r="F1" s="1609"/>
      <c r="G1" s="1609"/>
    </row>
    <row r="2" spans="1:7" s="165" customFormat="1" ht="30.75" customHeight="1" x14ac:dyDescent="0.2">
      <c r="A2" s="1573" t="s">
        <v>796</v>
      </c>
      <c r="B2" s="1573"/>
      <c r="C2" s="535" t="s">
        <v>859</v>
      </c>
      <c r="D2" s="1615" t="s">
        <v>1481</v>
      </c>
      <c r="E2" s="469"/>
      <c r="F2" s="469"/>
      <c r="G2" s="469"/>
    </row>
    <row r="3" spans="1:7" s="165" customFormat="1" ht="30" customHeight="1" x14ac:dyDescent="0.2">
      <c r="A3" s="1573" t="s">
        <v>264</v>
      </c>
      <c r="B3" s="1573"/>
      <c r="C3" s="166" t="s">
        <v>854</v>
      </c>
      <c r="D3" s="1616"/>
      <c r="E3" s="450"/>
      <c r="F3" s="450"/>
      <c r="G3" s="450"/>
    </row>
    <row r="4" spans="1:7" s="169" customFormat="1" ht="15" customHeight="1" x14ac:dyDescent="0.25">
      <c r="A4" s="167"/>
      <c r="B4" s="167"/>
      <c r="C4" s="167"/>
      <c r="D4" s="1590" t="s">
        <v>1482</v>
      </c>
      <c r="E4" s="1590"/>
      <c r="F4" s="1590"/>
      <c r="G4" s="168" t="s">
        <v>196</v>
      </c>
    </row>
    <row r="5" spans="1:7" ht="33.7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175" customFormat="1" ht="13.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175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 t="e">
        <f>F8/E8*100</f>
        <v>#DIV/0!</v>
      </c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>
        <v>0</v>
      </c>
      <c r="E9" s="257">
        <v>0</v>
      </c>
      <c r="F9" s="257">
        <v>0</v>
      </c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>
        <v>0</v>
      </c>
      <c r="E10" s="255">
        <v>0</v>
      </c>
      <c r="F10" s="255">
        <v>0</v>
      </c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/>
      <c r="E11" s="255"/>
      <c r="F11" s="255"/>
      <c r="G11" s="255" t="e">
        <f>F11/E11*100</f>
        <v>#DIV/0!</v>
      </c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/>
      <c r="E12" s="255"/>
      <c r="F12" s="255"/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/>
      <c r="E13" s="255"/>
      <c r="F13" s="255"/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/>
      <c r="E14" s="256"/>
      <c r="F14" s="256"/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/>
      <c r="E15" s="255"/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>
        <v>0</v>
      </c>
      <c r="E16" s="258">
        <v>0</v>
      </c>
      <c r="F16" s="258"/>
      <c r="G16" s="258"/>
    </row>
    <row r="17" spans="1:13" s="183" customFormat="1" ht="15" customHeight="1" x14ac:dyDescent="0.2">
      <c r="A17" s="180" t="s">
        <v>6</v>
      </c>
      <c r="B17" s="181"/>
      <c r="C17" s="182" t="s">
        <v>799</v>
      </c>
      <c r="D17" s="254">
        <f>SUM(D18:D23)-D19</f>
        <v>0</v>
      </c>
      <c r="E17" s="254">
        <f>SUM(E18:E23)-E19</f>
        <v>0</v>
      </c>
      <c r="F17" s="254">
        <f>SUM(F18:F23)-F19</f>
        <v>0</v>
      </c>
      <c r="G17" s="254" t="e">
        <f>F17/E17*100</f>
        <v>#DIV/0!</v>
      </c>
    </row>
    <row r="18" spans="1:13" s="187" customFormat="1" ht="15" customHeight="1" x14ac:dyDescent="0.2">
      <c r="A18" s="184"/>
      <c r="B18" s="185" t="s">
        <v>7</v>
      </c>
      <c r="C18" s="27" t="s">
        <v>800</v>
      </c>
      <c r="D18" s="255"/>
      <c r="E18" s="255"/>
      <c r="F18" s="255"/>
      <c r="G18" s="255" t="e">
        <f>F18/E18*100</f>
        <v>#DIV/0!</v>
      </c>
      <c r="L18" s="201"/>
      <c r="M18" s="201"/>
    </row>
    <row r="19" spans="1:13" s="187" customFormat="1" ht="15" customHeight="1" x14ac:dyDescent="0.2">
      <c r="A19" s="184"/>
      <c r="B19" s="185"/>
      <c r="C19" s="526" t="s">
        <v>841</v>
      </c>
      <c r="D19" s="255"/>
      <c r="E19" s="255"/>
      <c r="F19" s="255"/>
      <c r="G19" s="255" t="e">
        <f>F19/E19*100</f>
        <v>#DIV/0!</v>
      </c>
    </row>
    <row r="20" spans="1:13" s="187" customFormat="1" ht="15" customHeight="1" x14ac:dyDescent="0.2">
      <c r="A20" s="184"/>
      <c r="B20" s="185" t="s">
        <v>7</v>
      </c>
      <c r="C20" s="27" t="s">
        <v>1423</v>
      </c>
      <c r="D20" s="255"/>
      <c r="E20" s="255"/>
      <c r="F20" s="255"/>
      <c r="G20" s="255" t="e">
        <f>F20/E20*100</f>
        <v>#DIV/0!</v>
      </c>
      <c r="H20" s="531">
        <f>E20+'..'!E20</f>
        <v>0</v>
      </c>
      <c r="I20" s="531">
        <f>F20+'..'!F20</f>
        <v>0</v>
      </c>
      <c r="J20" s="201">
        <f>H20+H31</f>
        <v>0</v>
      </c>
      <c r="K20" s="201">
        <f>I20+I31</f>
        <v>0</v>
      </c>
    </row>
    <row r="21" spans="1:13" s="187" customFormat="1" ht="15" customHeight="1" x14ac:dyDescent="0.2">
      <c r="A21" s="184"/>
      <c r="B21" s="185" t="s">
        <v>9</v>
      </c>
      <c r="C21" s="15" t="s">
        <v>801</v>
      </c>
      <c r="D21" s="255">
        <v>0</v>
      </c>
      <c r="E21" s="255">
        <v>0</v>
      </c>
      <c r="F21" s="255">
        <v>0</v>
      </c>
      <c r="G21" s="255"/>
    </row>
    <row r="22" spans="1:13" s="187" customFormat="1" ht="15" customHeight="1" x14ac:dyDescent="0.2">
      <c r="A22" s="184"/>
      <c r="B22" s="185" t="s">
        <v>11</v>
      </c>
      <c r="C22" s="15" t="s">
        <v>802</v>
      </c>
      <c r="D22" s="255">
        <v>0</v>
      </c>
      <c r="E22" s="255">
        <v>0</v>
      </c>
      <c r="F22" s="255">
        <v>0</v>
      </c>
      <c r="G22" s="255"/>
    </row>
    <row r="23" spans="1:13" s="187" customFormat="1" ht="15" customHeight="1" x14ac:dyDescent="0.2">
      <c r="A23" s="184"/>
      <c r="B23" s="185" t="s">
        <v>13</v>
      </c>
      <c r="C23" s="15" t="s">
        <v>803</v>
      </c>
      <c r="D23" s="255">
        <v>0</v>
      </c>
      <c r="E23" s="255"/>
      <c r="F23" s="255"/>
      <c r="G23" s="255" t="e">
        <f>F23/E23*100</f>
        <v>#DIV/0!</v>
      </c>
    </row>
    <row r="24" spans="1:13" s="187" customFormat="1" ht="15" customHeight="1" x14ac:dyDescent="0.2">
      <c r="A24" s="180" t="s">
        <v>20</v>
      </c>
      <c r="B24" s="12"/>
      <c r="C24" s="12" t="s">
        <v>804</v>
      </c>
      <c r="D24" s="220">
        <v>0</v>
      </c>
      <c r="E24" s="220">
        <v>0</v>
      </c>
      <c r="F24" s="220">
        <v>0</v>
      </c>
      <c r="G24" s="220"/>
    </row>
    <row r="25" spans="1:13" s="183" customFormat="1" ht="15" customHeight="1" x14ac:dyDescent="0.2">
      <c r="A25" s="180" t="s">
        <v>150</v>
      </c>
      <c r="B25" s="181"/>
      <c r="C25" s="12" t="s">
        <v>846</v>
      </c>
      <c r="D25" s="220">
        <v>0</v>
      </c>
      <c r="E25" s="220">
        <v>0</v>
      </c>
      <c r="F25" s="220">
        <v>0</v>
      </c>
      <c r="G25" s="220"/>
    </row>
    <row r="26" spans="1:13" s="183" customFormat="1" ht="15" customHeight="1" x14ac:dyDescent="0.2">
      <c r="A26" s="180" t="s">
        <v>39</v>
      </c>
      <c r="B26" s="209"/>
      <c r="C26" s="12" t="s">
        <v>847</v>
      </c>
      <c r="D26" s="266">
        <f>+D27+D28</f>
        <v>0</v>
      </c>
      <c r="E26" s="266">
        <f>+E27+E28</f>
        <v>0</v>
      </c>
      <c r="F26" s="266">
        <f>+F27+F28</f>
        <v>0</v>
      </c>
      <c r="G26" s="266"/>
    </row>
    <row r="27" spans="1:13" s="183" customFormat="1" ht="15" customHeight="1" x14ac:dyDescent="0.2">
      <c r="A27" s="192"/>
      <c r="B27" s="199" t="s">
        <v>40</v>
      </c>
      <c r="C27" s="19" t="s">
        <v>808</v>
      </c>
      <c r="D27" s="267">
        <v>0</v>
      </c>
      <c r="E27" s="267">
        <v>0</v>
      </c>
      <c r="F27" s="267">
        <v>0</v>
      </c>
      <c r="G27" s="267"/>
    </row>
    <row r="28" spans="1:13" s="183" customFormat="1" ht="15" customHeight="1" x14ac:dyDescent="0.2">
      <c r="A28" s="202"/>
      <c r="B28" s="203" t="s">
        <v>41</v>
      </c>
      <c r="C28" s="24" t="s">
        <v>809</v>
      </c>
      <c r="D28" s="261">
        <v>0</v>
      </c>
      <c r="E28" s="261">
        <v>0</v>
      </c>
      <c r="F28" s="261">
        <v>0</v>
      </c>
      <c r="G28" s="261"/>
    </row>
    <row r="29" spans="1:13" s="187" customFormat="1" ht="15" customHeight="1" x14ac:dyDescent="0.25">
      <c r="A29" s="212" t="s">
        <v>49</v>
      </c>
      <c r="B29" s="213"/>
      <c r="C29" s="12" t="s">
        <v>848</v>
      </c>
      <c r="D29" s="220"/>
      <c r="E29" s="220"/>
      <c r="F29" s="220"/>
      <c r="G29" s="220" t="e">
        <f>F29/E29*100</f>
        <v>#DIV/0!</v>
      </c>
      <c r="M29" s="201">
        <f>SUM(D34-D31)</f>
        <v>0</v>
      </c>
    </row>
    <row r="30" spans="1:13" s="187" customFormat="1" ht="15" customHeight="1" x14ac:dyDescent="0.25">
      <c r="A30" s="212"/>
      <c r="B30" s="213"/>
      <c r="C30" s="12" t="s">
        <v>849</v>
      </c>
      <c r="D30" s="220"/>
      <c r="E30" s="220"/>
      <c r="F30" s="220"/>
      <c r="G30" s="220"/>
    </row>
    <row r="31" spans="1:13" s="187" customFormat="1" ht="15" customHeight="1" x14ac:dyDescent="0.2">
      <c r="A31" s="268" t="s">
        <v>179</v>
      </c>
      <c r="B31" s="269"/>
      <c r="C31" s="480" t="s">
        <v>850</v>
      </c>
      <c r="D31" s="270">
        <f>SUM(D8,D17,D24,D25,D26,D29)</f>
        <v>0</v>
      </c>
      <c r="E31" s="270">
        <f>SUM(E8,E17,E24,E25,E26,E29,E30)</f>
        <v>0</v>
      </c>
      <c r="F31" s="270">
        <f>SUM(F8,F17,F24,F25,F26,F29,F30)</f>
        <v>0</v>
      </c>
      <c r="G31" s="270" t="e">
        <f>F31/E31*100</f>
        <v>#DIV/0!</v>
      </c>
      <c r="I31" s="201">
        <f>SUM(D50-D31)</f>
        <v>0</v>
      </c>
    </row>
    <row r="32" spans="1:13" ht="7.5" customHeight="1" x14ac:dyDescent="0.2">
      <c r="A32" s="242"/>
      <c r="B32" s="243"/>
      <c r="C32" s="243"/>
      <c r="D32" s="516"/>
      <c r="E32" s="516"/>
      <c r="F32" s="516"/>
      <c r="G32" s="516"/>
    </row>
    <row r="33" spans="1:7" s="175" customFormat="1" ht="15" customHeight="1" x14ac:dyDescent="0.2">
      <c r="A33" s="268"/>
      <c r="B33" s="269"/>
      <c r="C33" s="513" t="s">
        <v>199</v>
      </c>
      <c r="D33" s="270"/>
      <c r="E33" s="270"/>
      <c r="F33" s="270"/>
      <c r="G33" s="270"/>
    </row>
    <row r="34" spans="1:7" s="232" customFormat="1" ht="15" customHeight="1" x14ac:dyDescent="0.2">
      <c r="A34" s="180" t="s">
        <v>5</v>
      </c>
      <c r="B34" s="12"/>
      <c r="C34" s="67" t="s">
        <v>102</v>
      </c>
      <c r="D34" s="254">
        <f>SUM(D35+D37+D39)</f>
        <v>0</v>
      </c>
      <c r="E34" s="254">
        <f>SUM(E35+E37+E39)</f>
        <v>0</v>
      </c>
      <c r="F34" s="254">
        <f>SUM(F35+F37+F39)</f>
        <v>0</v>
      </c>
      <c r="G34" s="254" t="e">
        <f t="shared" ref="G34:G40" si="0">F34/E34*100</f>
        <v>#DIV/0!</v>
      </c>
    </row>
    <row r="35" spans="1:7" ht="15" customHeight="1" x14ac:dyDescent="0.2">
      <c r="A35" s="204"/>
      <c r="B35" s="231" t="s">
        <v>103</v>
      </c>
      <c r="C35" s="27" t="s">
        <v>104</v>
      </c>
      <c r="D35" s="262"/>
      <c r="E35" s="262"/>
      <c r="F35" s="262"/>
      <c r="G35" s="262" t="e">
        <f t="shared" si="0"/>
        <v>#DIV/0!</v>
      </c>
    </row>
    <row r="36" spans="1:7" ht="15" customHeight="1" x14ac:dyDescent="0.2">
      <c r="A36" s="204"/>
      <c r="B36" s="231"/>
      <c r="C36" s="526" t="s">
        <v>841</v>
      </c>
      <c r="D36" s="532"/>
      <c r="E36" s="532"/>
      <c r="F36" s="532"/>
      <c r="G36" s="532" t="e">
        <f t="shared" si="0"/>
        <v>#DIV/0!</v>
      </c>
    </row>
    <row r="37" spans="1:7" ht="15" customHeight="1" x14ac:dyDescent="0.2">
      <c r="A37" s="184"/>
      <c r="B37" s="200" t="s">
        <v>105</v>
      </c>
      <c r="C37" s="15" t="s">
        <v>106</v>
      </c>
      <c r="D37" s="255"/>
      <c r="E37" s="255"/>
      <c r="F37" s="255"/>
      <c r="G37" s="255" t="e">
        <f t="shared" si="0"/>
        <v>#DIV/0!</v>
      </c>
    </row>
    <row r="38" spans="1:7" ht="15" customHeight="1" x14ac:dyDescent="0.2">
      <c r="A38" s="184"/>
      <c r="B38" s="200"/>
      <c r="C38" s="526" t="s">
        <v>841</v>
      </c>
      <c r="D38" s="532"/>
      <c r="E38" s="532"/>
      <c r="F38" s="532"/>
      <c r="G38" s="532" t="e">
        <f t="shared" si="0"/>
        <v>#DIV/0!</v>
      </c>
    </row>
    <row r="39" spans="1:7" ht="15" customHeight="1" x14ac:dyDescent="0.2">
      <c r="A39" s="184"/>
      <c r="B39" s="200" t="s">
        <v>107</v>
      </c>
      <c r="C39" s="15" t="s">
        <v>108</v>
      </c>
      <c r="D39" s="255"/>
      <c r="E39" s="255"/>
      <c r="F39" s="255"/>
      <c r="G39" s="255" t="e">
        <f t="shared" si="0"/>
        <v>#DIV/0!</v>
      </c>
    </row>
    <row r="40" spans="1:7" ht="15" customHeight="1" x14ac:dyDescent="0.2">
      <c r="A40" s="184"/>
      <c r="B40" s="200"/>
      <c r="C40" s="526" t="s">
        <v>841</v>
      </c>
      <c r="D40" s="532"/>
      <c r="E40" s="532"/>
      <c r="F40" s="532"/>
      <c r="G40" s="532" t="e">
        <f t="shared" si="0"/>
        <v>#DIV/0!</v>
      </c>
    </row>
    <row r="41" spans="1:7" ht="15" customHeight="1" x14ac:dyDescent="0.2">
      <c r="A41" s="184"/>
      <c r="B41" s="200" t="s">
        <v>109</v>
      </c>
      <c r="C41" s="15" t="s">
        <v>110</v>
      </c>
      <c r="D41" s="255">
        <v>0</v>
      </c>
      <c r="E41" s="255">
        <v>0</v>
      </c>
      <c r="F41" s="255">
        <v>0</v>
      </c>
      <c r="G41" s="255"/>
    </row>
    <row r="42" spans="1:7" ht="15" customHeight="1" x14ac:dyDescent="0.2">
      <c r="A42" s="184"/>
      <c r="B42" s="200" t="s">
        <v>111</v>
      </c>
      <c r="C42" s="15" t="s">
        <v>112</v>
      </c>
      <c r="D42" s="255">
        <v>0</v>
      </c>
      <c r="E42" s="255">
        <v>0</v>
      </c>
      <c r="F42" s="255">
        <v>0</v>
      </c>
      <c r="G42" s="255"/>
    </row>
    <row r="43" spans="1:7" ht="15" customHeight="1" x14ac:dyDescent="0.2">
      <c r="A43" s="180" t="s">
        <v>6</v>
      </c>
      <c r="B43" s="12"/>
      <c r="C43" s="67" t="s">
        <v>823</v>
      </c>
      <c r="D43" s="254">
        <f>SUM(D44:D47)</f>
        <v>0</v>
      </c>
      <c r="E43" s="254">
        <f>SUM(E44:E47)</f>
        <v>0</v>
      </c>
      <c r="F43" s="254">
        <f>SUM(F44:F47)</f>
        <v>0</v>
      </c>
      <c r="G43" s="254" t="e">
        <f>F43/E43*100</f>
        <v>#DIV/0!</v>
      </c>
    </row>
    <row r="44" spans="1:7" s="232" customFormat="1" ht="15" customHeight="1" x14ac:dyDescent="0.2">
      <c r="A44" s="204"/>
      <c r="B44" s="231" t="s">
        <v>7</v>
      </c>
      <c r="C44" s="27" t="s">
        <v>816</v>
      </c>
      <c r="D44" s="262">
        <v>0</v>
      </c>
      <c r="E44" s="262"/>
      <c r="F44" s="262"/>
      <c r="G44" s="262" t="e">
        <f>F44/E44*100</f>
        <v>#DIV/0!</v>
      </c>
    </row>
    <row r="45" spans="1:7" ht="15" customHeight="1" x14ac:dyDescent="0.2">
      <c r="A45" s="184"/>
      <c r="B45" s="200" t="s">
        <v>9</v>
      </c>
      <c r="C45" s="15" t="s">
        <v>135</v>
      </c>
      <c r="D45" s="255">
        <v>0</v>
      </c>
      <c r="E45" s="255"/>
      <c r="F45" s="255"/>
      <c r="G45" s="255"/>
    </row>
    <row r="46" spans="1:7" ht="30.75" customHeight="1" x14ac:dyDescent="0.2">
      <c r="A46" s="184"/>
      <c r="B46" s="200" t="s">
        <v>15</v>
      </c>
      <c r="C46" s="15" t="s">
        <v>138</v>
      </c>
      <c r="D46" s="255">
        <v>0</v>
      </c>
      <c r="E46" s="255">
        <v>0</v>
      </c>
      <c r="F46" s="255">
        <v>0</v>
      </c>
      <c r="G46" s="255"/>
    </row>
    <row r="47" spans="1:7" ht="15" customHeight="1" x14ac:dyDescent="0.2">
      <c r="A47" s="184"/>
      <c r="B47" s="200" t="s">
        <v>19</v>
      </c>
      <c r="C47" s="15" t="s">
        <v>817</v>
      </c>
      <c r="D47" s="255">
        <v>0</v>
      </c>
      <c r="E47" s="255">
        <v>0</v>
      </c>
      <c r="F47" s="255">
        <v>0</v>
      </c>
      <c r="G47" s="255"/>
    </row>
    <row r="48" spans="1:7" ht="15" customHeight="1" x14ac:dyDescent="0.2">
      <c r="A48" s="180" t="s">
        <v>20</v>
      </c>
      <c r="B48" s="12"/>
      <c r="C48" s="67" t="s">
        <v>818</v>
      </c>
      <c r="D48" s="220">
        <v>0</v>
      </c>
      <c r="E48" s="220">
        <v>0</v>
      </c>
      <c r="F48" s="220">
        <v>0</v>
      </c>
      <c r="G48" s="220"/>
    </row>
    <row r="49" spans="1:7" s="187" customFormat="1" ht="15" customHeight="1" x14ac:dyDescent="0.2">
      <c r="A49" s="180"/>
      <c r="B49" s="12"/>
      <c r="C49" s="67" t="s">
        <v>819</v>
      </c>
      <c r="D49" s="220"/>
      <c r="E49" s="220"/>
      <c r="F49" s="220"/>
      <c r="G49" s="220"/>
    </row>
    <row r="50" spans="1:7" ht="15" customHeight="1" x14ac:dyDescent="0.2">
      <c r="A50" s="268" t="s">
        <v>150</v>
      </c>
      <c r="B50" s="269"/>
      <c r="C50" s="480" t="s">
        <v>820</v>
      </c>
      <c r="D50" s="270">
        <f>+D34+D43+D48</f>
        <v>0</v>
      </c>
      <c r="E50" s="270">
        <f>+E34+E43+E48+E49</f>
        <v>0</v>
      </c>
      <c r="F50" s="270">
        <f>+F34+F43+F48+F49</f>
        <v>0</v>
      </c>
      <c r="G50" s="270" t="e">
        <f>F50/E50*100</f>
        <v>#DIV/0!</v>
      </c>
    </row>
    <row r="51" spans="1:7" ht="15" customHeight="1" x14ac:dyDescent="0.2">
      <c r="A51" s="530"/>
      <c r="B51" s="462"/>
      <c r="C51" s="481" t="s">
        <v>851</v>
      </c>
      <c r="D51" s="514">
        <f>SUM(D36+D38+D40)</f>
        <v>0</v>
      </c>
      <c r="E51" s="514">
        <f>SUM(E36+E38+E40)</f>
        <v>0</v>
      </c>
      <c r="F51" s="514">
        <f>SUM(F36+F38+F40)</f>
        <v>0</v>
      </c>
      <c r="G51" s="514" t="e">
        <f>F51/E51*100</f>
        <v>#DIV/0!</v>
      </c>
    </row>
    <row r="52" spans="1:7" ht="15" customHeight="1" x14ac:dyDescent="0.2">
      <c r="A52" s="244" t="s">
        <v>297</v>
      </c>
      <c r="B52" s="245"/>
      <c r="C52" s="246"/>
      <c r="D52" s="247"/>
      <c r="E52" s="247"/>
      <c r="F52" s="247"/>
      <c r="G52" s="247"/>
    </row>
    <row r="53" spans="1:7" ht="15" customHeight="1" x14ac:dyDescent="0.2">
      <c r="A53" s="244" t="s">
        <v>298</v>
      </c>
      <c r="B53" s="245"/>
      <c r="C53" s="246"/>
      <c r="D53" s="482"/>
      <c r="E53" s="482"/>
      <c r="F53" s="482"/>
      <c r="G53" s="482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47244094488188981" right="0.35433070866141736" top="0.31496062992125984" bottom="0.39370078740157483" header="0.51181102362204722" footer="0.15748031496062992"/>
  <pageSetup paperSize="9" scale="92" firstPageNumber="44" orientation="portrait" useFirstPageNumber="1" r:id="rId1"/>
  <headerFooter alignWithMargins="0">
    <oddFooter xml:space="preserve">&amp;C- &amp;P - 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30" workbookViewId="0">
      <selection activeCell="D35" sqref="D35"/>
    </sheetView>
  </sheetViews>
  <sheetFormatPr defaultRowHeight="12.75" x14ac:dyDescent="0.2"/>
  <cols>
    <col min="1" max="1" width="6.83203125" style="161" customWidth="1"/>
    <col min="2" max="2" width="9.6640625" style="162" customWidth="1"/>
    <col min="3" max="3" width="66.33203125" style="162" customWidth="1"/>
    <col min="4" max="4" width="18.83203125" style="162" customWidth="1"/>
    <col min="5" max="6" width="14.6640625" style="162" hidden="1" customWidth="1"/>
    <col min="7" max="7" width="9.1640625" style="162" hidden="1" customWidth="1"/>
    <col min="8" max="16384" width="9.33203125" style="162"/>
  </cols>
  <sheetData>
    <row r="1" spans="1:7" s="449" customFormat="1" ht="21" customHeight="1" x14ac:dyDescent="0.2">
      <c r="A1" s="446"/>
      <c r="B1" s="447"/>
      <c r="C1" s="448"/>
      <c r="D1" s="1609" t="s">
        <v>860</v>
      </c>
      <c r="E1" s="1609"/>
      <c r="F1" s="1609"/>
      <c r="G1" s="1609"/>
    </row>
    <row r="2" spans="1:7" s="165" customFormat="1" ht="30" customHeight="1" x14ac:dyDescent="0.2">
      <c r="A2" s="1573" t="s">
        <v>796</v>
      </c>
      <c r="B2" s="1573"/>
      <c r="C2" s="163" t="s">
        <v>861</v>
      </c>
      <c r="D2" s="1615" t="s">
        <v>1481</v>
      </c>
      <c r="E2" s="469"/>
      <c r="F2" s="469"/>
      <c r="G2" s="469"/>
    </row>
    <row r="3" spans="1:7" s="165" customFormat="1" ht="30" customHeight="1" x14ac:dyDescent="0.2">
      <c r="A3" s="1573" t="s">
        <v>264</v>
      </c>
      <c r="B3" s="1573"/>
      <c r="C3" s="166" t="s">
        <v>854</v>
      </c>
      <c r="D3" s="1616"/>
      <c r="E3" s="450"/>
      <c r="F3" s="450"/>
      <c r="G3" s="450"/>
    </row>
    <row r="4" spans="1:7" s="169" customFormat="1" ht="15" customHeight="1" x14ac:dyDescent="0.25">
      <c r="A4" s="167"/>
      <c r="B4" s="167"/>
      <c r="C4" s="167"/>
      <c r="D4" s="1590" t="s">
        <v>1482</v>
      </c>
      <c r="E4" s="1590"/>
      <c r="F4" s="1590"/>
      <c r="G4" s="168" t="s">
        <v>196</v>
      </c>
    </row>
    <row r="5" spans="1:7" ht="36.7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175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175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 t="e">
        <f>F8/E8*100</f>
        <v>#DIV/0!</v>
      </c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>
        <v>0</v>
      </c>
      <c r="E9" s="257">
        <v>0</v>
      </c>
      <c r="F9" s="257">
        <v>0</v>
      </c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>
        <v>0</v>
      </c>
      <c r="E10" s="255">
        <v>0</v>
      </c>
      <c r="F10" s="255">
        <v>0</v>
      </c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/>
      <c r="E11" s="255"/>
      <c r="F11" s="255"/>
      <c r="G11" s="255" t="e">
        <f>F11/E11*100</f>
        <v>#DIV/0!</v>
      </c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/>
      <c r="E12" s="255"/>
      <c r="F12" s="255"/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/>
      <c r="E13" s="255"/>
      <c r="F13" s="255"/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/>
      <c r="E14" s="256"/>
      <c r="F14" s="256"/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/>
      <c r="E15" s="255"/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>
        <v>0</v>
      </c>
      <c r="E16" s="258"/>
      <c r="F16" s="258"/>
      <c r="G16" s="258"/>
    </row>
    <row r="17" spans="1:9" s="183" customFormat="1" ht="15" customHeight="1" x14ac:dyDescent="0.2">
      <c r="A17" s="180" t="s">
        <v>6</v>
      </c>
      <c r="B17" s="181"/>
      <c r="C17" s="182" t="s">
        <v>799</v>
      </c>
      <c r="D17" s="254">
        <f>SUM(D18:D21)</f>
        <v>0</v>
      </c>
      <c r="E17" s="254">
        <f>SUM(E18:E21)</f>
        <v>0</v>
      </c>
      <c r="F17" s="254">
        <f>SUM(F18:F21)</f>
        <v>0</v>
      </c>
      <c r="G17" s="254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800</v>
      </c>
      <c r="D18" s="255"/>
      <c r="E18" s="255"/>
      <c r="F18" s="255"/>
      <c r="G18" s="255" t="e">
        <f>F18/E18*100</f>
        <v>#DIV/0!</v>
      </c>
    </row>
    <row r="19" spans="1:9" s="187" customFormat="1" ht="15" customHeight="1" x14ac:dyDescent="0.2">
      <c r="A19" s="184"/>
      <c r="B19" s="185" t="s">
        <v>9</v>
      </c>
      <c r="C19" s="15" t="s">
        <v>801</v>
      </c>
      <c r="D19" s="255"/>
      <c r="E19" s="255"/>
      <c r="F19" s="255"/>
      <c r="G19" s="255"/>
    </row>
    <row r="20" spans="1:9" s="187" customFormat="1" ht="15" customHeight="1" x14ac:dyDescent="0.2">
      <c r="A20" s="184"/>
      <c r="B20" s="185" t="s">
        <v>11</v>
      </c>
      <c r="C20" s="15" t="s">
        <v>802</v>
      </c>
      <c r="D20" s="255"/>
      <c r="E20" s="255"/>
      <c r="F20" s="255"/>
      <c r="G20" s="255"/>
    </row>
    <row r="21" spans="1:9" s="187" customFormat="1" ht="15" customHeight="1" x14ac:dyDescent="0.2">
      <c r="A21" s="184"/>
      <c r="B21" s="185" t="s">
        <v>13</v>
      </c>
      <c r="C21" s="15" t="s">
        <v>803</v>
      </c>
      <c r="D21" s="255"/>
      <c r="E21" s="255"/>
      <c r="F21" s="255"/>
      <c r="G21" s="255" t="e">
        <f>F21/E21*100</f>
        <v>#DIV/0!</v>
      </c>
    </row>
    <row r="22" spans="1:9" s="187" customFormat="1" ht="15" customHeight="1" x14ac:dyDescent="0.2">
      <c r="A22" s="180" t="s">
        <v>20</v>
      </c>
      <c r="B22" s="12"/>
      <c r="C22" s="12" t="s">
        <v>804</v>
      </c>
      <c r="D22" s="220">
        <v>0</v>
      </c>
      <c r="E22" s="220">
        <v>0</v>
      </c>
      <c r="F22" s="220">
        <v>0</v>
      </c>
      <c r="G22" s="220"/>
    </row>
    <row r="23" spans="1:9" s="183" customFormat="1" ht="15" customHeight="1" x14ac:dyDescent="0.2">
      <c r="A23" s="180" t="s">
        <v>150</v>
      </c>
      <c r="B23" s="181"/>
      <c r="C23" s="12" t="s">
        <v>846</v>
      </c>
      <c r="D23" s="220">
        <v>0</v>
      </c>
      <c r="E23" s="220">
        <v>0</v>
      </c>
      <c r="F23" s="220">
        <v>0</v>
      </c>
      <c r="G23" s="220"/>
    </row>
    <row r="24" spans="1:9" s="183" customFormat="1" ht="15" customHeight="1" x14ac:dyDescent="0.2">
      <c r="A24" s="180" t="s">
        <v>39</v>
      </c>
      <c r="B24" s="209"/>
      <c r="C24" s="12" t="s">
        <v>847</v>
      </c>
      <c r="D24" s="266">
        <f>+D25+D26</f>
        <v>0</v>
      </c>
      <c r="E24" s="266">
        <f>+E25+E26</f>
        <v>0</v>
      </c>
      <c r="F24" s="266">
        <f>+F25+F26</f>
        <v>0</v>
      </c>
      <c r="G24" s="266"/>
    </row>
    <row r="25" spans="1:9" s="183" customFormat="1" ht="15" customHeight="1" x14ac:dyDescent="0.2">
      <c r="A25" s="192"/>
      <c r="B25" s="199" t="s">
        <v>40</v>
      </c>
      <c r="C25" s="19" t="s">
        <v>808</v>
      </c>
      <c r="D25" s="267">
        <v>0</v>
      </c>
      <c r="E25" s="267">
        <v>0</v>
      </c>
      <c r="F25" s="267">
        <v>0</v>
      </c>
      <c r="G25" s="267"/>
    </row>
    <row r="26" spans="1:9" s="183" customFormat="1" ht="15" customHeight="1" x14ac:dyDescent="0.2">
      <c r="A26" s="202"/>
      <c r="B26" s="203" t="s">
        <v>41</v>
      </c>
      <c r="C26" s="24" t="s">
        <v>809</v>
      </c>
      <c r="D26" s="261">
        <v>0</v>
      </c>
      <c r="E26" s="261">
        <v>0</v>
      </c>
      <c r="F26" s="261">
        <v>0</v>
      </c>
      <c r="G26" s="261"/>
    </row>
    <row r="27" spans="1:9" s="187" customFormat="1" ht="15" customHeight="1" x14ac:dyDescent="0.25">
      <c r="A27" s="212" t="s">
        <v>49</v>
      </c>
      <c r="B27" s="213"/>
      <c r="C27" s="12" t="s">
        <v>848</v>
      </c>
      <c r="D27" s="220"/>
      <c r="E27" s="220"/>
      <c r="F27" s="220"/>
      <c r="G27" s="220" t="e">
        <f>F27/E27*100</f>
        <v>#DIV/0!</v>
      </c>
      <c r="I27" s="201">
        <f>SUM(D32-D29)</f>
        <v>0</v>
      </c>
    </row>
    <row r="28" spans="1:9" s="187" customFormat="1" ht="15" customHeight="1" x14ac:dyDescent="0.25">
      <c r="A28" s="212"/>
      <c r="B28" s="213"/>
      <c r="C28" s="12" t="s">
        <v>849</v>
      </c>
      <c r="D28" s="220"/>
      <c r="E28" s="220"/>
      <c r="F28" s="220"/>
      <c r="G28" s="220"/>
    </row>
    <row r="29" spans="1:9" s="187" customFormat="1" ht="15" customHeight="1" x14ac:dyDescent="0.2">
      <c r="A29" s="268" t="s">
        <v>179</v>
      </c>
      <c r="B29" s="269"/>
      <c r="C29" s="480" t="s">
        <v>850</v>
      </c>
      <c r="D29" s="270">
        <f>SUM(D8,D17,D22,D23,D24,D27)</f>
        <v>0</v>
      </c>
      <c r="E29" s="270">
        <f>SUM(E8,E17,E22,E23,E24,E27,E28)</f>
        <v>0</v>
      </c>
      <c r="F29" s="270">
        <f>SUM(F8,F17,F22,F23,F24,F27,F28)</f>
        <v>0</v>
      </c>
      <c r="G29" s="270" t="e">
        <f>F29/E29*100</f>
        <v>#DIV/0!</v>
      </c>
      <c r="I29" s="201"/>
    </row>
    <row r="30" spans="1:9" s="187" customFormat="1" ht="15" customHeight="1" x14ac:dyDescent="0.2">
      <c r="A30" s="462"/>
      <c r="B30" s="462"/>
      <c r="C30" s="481"/>
      <c r="D30" s="514"/>
      <c r="E30" s="514"/>
      <c r="F30" s="514"/>
      <c r="G30" s="514"/>
    </row>
    <row r="31" spans="1:9" s="175" customFormat="1" ht="15" customHeight="1" x14ac:dyDescent="0.2">
      <c r="A31" s="268"/>
      <c r="B31" s="269"/>
      <c r="C31" s="513" t="s">
        <v>199</v>
      </c>
      <c r="D31" s="270"/>
      <c r="E31" s="270"/>
      <c r="F31" s="270"/>
      <c r="G31" s="270"/>
    </row>
    <row r="32" spans="1:9" s="232" customFormat="1" ht="15" customHeight="1" x14ac:dyDescent="0.2">
      <c r="A32" s="180" t="s">
        <v>5</v>
      </c>
      <c r="B32" s="12"/>
      <c r="C32" s="67" t="s">
        <v>102</v>
      </c>
      <c r="D32" s="254">
        <f>SUM(D33:D37)</f>
        <v>0</v>
      </c>
      <c r="E32" s="254">
        <f>SUM(E33:E37)</f>
        <v>0</v>
      </c>
      <c r="F32" s="254">
        <f>SUM(F33:F37)</f>
        <v>0</v>
      </c>
      <c r="G32" s="254" t="e">
        <f>F32/E32*100</f>
        <v>#DIV/0!</v>
      </c>
    </row>
    <row r="33" spans="1:7" ht="15" customHeight="1" x14ac:dyDescent="0.2">
      <c r="A33" s="204"/>
      <c r="B33" s="231" t="s">
        <v>103</v>
      </c>
      <c r="C33" s="27" t="s">
        <v>104</v>
      </c>
      <c r="D33" s="262"/>
      <c r="E33" s="262"/>
      <c r="F33" s="262"/>
      <c r="G33" s="262" t="e">
        <f>F33/E33*100</f>
        <v>#DIV/0!</v>
      </c>
    </row>
    <row r="34" spans="1:7" ht="15" customHeight="1" x14ac:dyDescent="0.2">
      <c r="A34" s="184"/>
      <c r="B34" s="200" t="s">
        <v>105</v>
      </c>
      <c r="C34" s="15" t="s">
        <v>106</v>
      </c>
      <c r="D34" s="255"/>
      <c r="E34" s="255"/>
      <c r="F34" s="255"/>
      <c r="G34" s="255" t="e">
        <f>F34/E34*100</f>
        <v>#DIV/0!</v>
      </c>
    </row>
    <row r="35" spans="1:7" ht="15" customHeight="1" x14ac:dyDescent="0.2">
      <c r="A35" s="184"/>
      <c r="B35" s="200" t="s">
        <v>107</v>
      </c>
      <c r="C35" s="15" t="s">
        <v>108</v>
      </c>
      <c r="D35" s="255"/>
      <c r="E35" s="255"/>
      <c r="F35" s="255"/>
      <c r="G35" s="255" t="e">
        <f>F35/E35*100</f>
        <v>#DIV/0!</v>
      </c>
    </row>
    <row r="36" spans="1:7" ht="15" customHeight="1" x14ac:dyDescent="0.2">
      <c r="A36" s="184"/>
      <c r="B36" s="200" t="s">
        <v>109</v>
      </c>
      <c r="C36" s="15" t="s">
        <v>110</v>
      </c>
      <c r="D36" s="255"/>
      <c r="E36" s="255"/>
      <c r="F36" s="255"/>
      <c r="G36" s="255"/>
    </row>
    <row r="37" spans="1:7" ht="15" customHeight="1" x14ac:dyDescent="0.2">
      <c r="A37" s="184"/>
      <c r="B37" s="200" t="s">
        <v>111</v>
      </c>
      <c r="C37" s="15" t="s">
        <v>112</v>
      </c>
      <c r="D37" s="255">
        <v>0</v>
      </c>
      <c r="E37" s="255">
        <v>0</v>
      </c>
      <c r="F37" s="255">
        <v>0</v>
      </c>
      <c r="G37" s="255"/>
    </row>
    <row r="38" spans="1:7" ht="15" customHeight="1" x14ac:dyDescent="0.2">
      <c r="A38" s="180" t="s">
        <v>6</v>
      </c>
      <c r="B38" s="12"/>
      <c r="C38" s="67" t="s">
        <v>823</v>
      </c>
      <c r="D38" s="254">
        <f>SUM(D39:D42)</f>
        <v>0</v>
      </c>
      <c r="E38" s="254">
        <f>SUM(E39:E42)</f>
        <v>0</v>
      </c>
      <c r="F38" s="254">
        <f>SUM(F39:F42)</f>
        <v>0</v>
      </c>
      <c r="G38" s="254" t="e">
        <f>F38/E38*100</f>
        <v>#DIV/0!</v>
      </c>
    </row>
    <row r="39" spans="1:7" s="232" customFormat="1" ht="15" customHeight="1" x14ac:dyDescent="0.2">
      <c r="A39" s="204"/>
      <c r="B39" s="231" t="s">
        <v>7</v>
      </c>
      <c r="C39" s="27" t="s">
        <v>816</v>
      </c>
      <c r="D39" s="262">
        <v>0</v>
      </c>
      <c r="E39" s="262"/>
      <c r="F39" s="262"/>
      <c r="G39" s="262" t="e">
        <f>F39/E39*100</f>
        <v>#DIV/0!</v>
      </c>
    </row>
    <row r="40" spans="1:7" ht="15" customHeight="1" x14ac:dyDescent="0.2">
      <c r="A40" s="184"/>
      <c r="B40" s="200" t="s">
        <v>9</v>
      </c>
      <c r="C40" s="15" t="s">
        <v>135</v>
      </c>
      <c r="D40" s="255">
        <v>0</v>
      </c>
      <c r="E40" s="255">
        <v>0</v>
      </c>
      <c r="F40" s="255">
        <v>0</v>
      </c>
      <c r="G40" s="255"/>
    </row>
    <row r="41" spans="1:7" ht="30" customHeight="1" x14ac:dyDescent="0.2">
      <c r="A41" s="184"/>
      <c r="B41" s="200" t="s">
        <v>15</v>
      </c>
      <c r="C41" s="15" t="s">
        <v>138</v>
      </c>
      <c r="D41" s="255">
        <v>0</v>
      </c>
      <c r="E41" s="255">
        <v>0</v>
      </c>
      <c r="F41" s="255">
        <v>0</v>
      </c>
      <c r="G41" s="255"/>
    </row>
    <row r="42" spans="1:7" ht="15" customHeight="1" x14ac:dyDescent="0.2">
      <c r="A42" s="184"/>
      <c r="B42" s="200" t="s">
        <v>19</v>
      </c>
      <c r="C42" s="15" t="s">
        <v>817</v>
      </c>
      <c r="D42" s="255">
        <v>0</v>
      </c>
      <c r="E42" s="255">
        <v>0</v>
      </c>
      <c r="F42" s="255">
        <v>0</v>
      </c>
      <c r="G42" s="255"/>
    </row>
    <row r="43" spans="1:7" ht="15" customHeight="1" x14ac:dyDescent="0.2">
      <c r="A43" s="180" t="s">
        <v>20</v>
      </c>
      <c r="B43" s="12"/>
      <c r="C43" s="67" t="s">
        <v>818</v>
      </c>
      <c r="D43" s="220">
        <v>0</v>
      </c>
      <c r="E43" s="220">
        <v>0</v>
      </c>
      <c r="F43" s="220">
        <v>0</v>
      </c>
      <c r="G43" s="220"/>
    </row>
    <row r="44" spans="1:7" s="187" customFormat="1" ht="15" customHeight="1" x14ac:dyDescent="0.2">
      <c r="A44" s="180"/>
      <c r="B44" s="12"/>
      <c r="C44" s="67" t="s">
        <v>819</v>
      </c>
      <c r="D44" s="220"/>
      <c r="E44" s="220"/>
      <c r="F44" s="220"/>
      <c r="G44" s="220"/>
    </row>
    <row r="45" spans="1:7" ht="15" customHeight="1" x14ac:dyDescent="0.2">
      <c r="A45" s="268" t="s">
        <v>150</v>
      </c>
      <c r="B45" s="269"/>
      <c r="C45" s="480" t="s">
        <v>820</v>
      </c>
      <c r="D45" s="270">
        <f>+D32+D38+D43</f>
        <v>0</v>
      </c>
      <c r="E45" s="270">
        <f>+E32+E38+E43+E44</f>
        <v>0</v>
      </c>
      <c r="F45" s="270">
        <f>+F32+F38+F43+F44</f>
        <v>0</v>
      </c>
      <c r="G45" s="270"/>
    </row>
    <row r="46" spans="1:7" ht="15" customHeight="1" x14ac:dyDescent="0.2">
      <c r="A46" s="242"/>
      <c r="B46" s="243"/>
      <c r="C46" s="243"/>
      <c r="D46" s="516"/>
      <c r="E46" s="516"/>
      <c r="F46" s="516"/>
      <c r="G46" s="516"/>
    </row>
    <row r="47" spans="1:7" ht="15" customHeight="1" x14ac:dyDescent="0.2">
      <c r="A47" s="244" t="s">
        <v>297</v>
      </c>
      <c r="B47" s="245"/>
      <c r="C47" s="246"/>
      <c r="D47" s="247"/>
      <c r="E47" s="247"/>
      <c r="F47" s="247"/>
      <c r="G47" s="247"/>
    </row>
    <row r="48" spans="1:7" ht="15" customHeight="1" x14ac:dyDescent="0.2">
      <c r="A48" s="244" t="s">
        <v>298</v>
      </c>
      <c r="B48" s="245"/>
      <c r="C48" s="246"/>
      <c r="D48" s="482"/>
      <c r="E48" s="482"/>
      <c r="F48" s="482"/>
      <c r="G48" s="482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43307086614173229" right="0.31496062992125984" top="0.55118110236220474" bottom="0.39370078740157483" header="0.51181102362204722" footer="0.15748031496062992"/>
  <pageSetup paperSize="9" scale="95" firstPageNumber="45" orientation="portrait" useFirstPageNumber="1" r:id="rId1"/>
  <headerFooter alignWithMargins="0">
    <oddFooter>&amp;C-&amp;P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30" workbookViewId="0">
      <selection activeCell="M28" sqref="M28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2.33203125" style="162" customWidth="1"/>
    <col min="4" max="4" width="18" style="162" customWidth="1"/>
    <col min="5" max="6" width="13.83203125" style="162" hidden="1" customWidth="1"/>
    <col min="7" max="7" width="1.33203125" style="162" hidden="1" customWidth="1"/>
    <col min="8" max="16384" width="9.33203125" style="162"/>
  </cols>
  <sheetData>
    <row r="1" spans="1:7" s="536" customFormat="1" ht="15" customHeight="1" x14ac:dyDescent="0.2">
      <c r="A1" s="446"/>
      <c r="B1" s="447"/>
      <c r="C1" s="448"/>
      <c r="D1" s="1609" t="s">
        <v>862</v>
      </c>
      <c r="E1" s="1609"/>
      <c r="F1" s="1609"/>
      <c r="G1" s="1609"/>
    </row>
    <row r="2" spans="1:7" s="537" customFormat="1" ht="30" customHeight="1" x14ac:dyDescent="0.2">
      <c r="A2" s="1573" t="s">
        <v>796</v>
      </c>
      <c r="B2" s="1573"/>
      <c r="C2" s="163" t="s">
        <v>863</v>
      </c>
      <c r="D2" s="1615" t="s">
        <v>1481</v>
      </c>
      <c r="E2" s="469"/>
      <c r="F2" s="469"/>
      <c r="G2" s="469"/>
    </row>
    <row r="3" spans="1:7" s="537" customFormat="1" ht="30" customHeight="1" x14ac:dyDescent="0.2">
      <c r="A3" s="1573" t="s">
        <v>264</v>
      </c>
      <c r="B3" s="1573"/>
      <c r="C3" s="166" t="s">
        <v>854</v>
      </c>
      <c r="D3" s="1616"/>
      <c r="E3" s="450"/>
      <c r="F3" s="450"/>
      <c r="G3" s="450"/>
    </row>
    <row r="4" spans="1:7" s="537" customFormat="1" ht="15" customHeight="1" x14ac:dyDescent="0.25">
      <c r="A4" s="167"/>
      <c r="B4" s="167"/>
      <c r="C4" s="167"/>
      <c r="D4" s="1590" t="s">
        <v>1482</v>
      </c>
      <c r="E4" s="1590"/>
      <c r="F4" s="1590"/>
      <c r="G4" s="168" t="s">
        <v>196</v>
      </c>
    </row>
    <row r="5" spans="1:7" s="187" customFormat="1" ht="29.2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538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538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 t="e">
        <f>F8/E8*100</f>
        <v>#DIV/0!</v>
      </c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/>
      <c r="E9" s="257"/>
      <c r="F9" s="257"/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/>
      <c r="E10" s="255"/>
      <c r="F10" s="255"/>
      <c r="G10" s="255"/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/>
      <c r="E11" s="255"/>
      <c r="F11" s="255"/>
      <c r="G11" s="255" t="e">
        <f>F11/E11*100</f>
        <v>#DIV/0!</v>
      </c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/>
      <c r="E12" s="255"/>
      <c r="F12" s="255"/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/>
      <c r="E13" s="255"/>
      <c r="F13" s="255"/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/>
      <c r="E14" s="256"/>
      <c r="F14" s="256"/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/>
      <c r="E15" s="255"/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>
        <v>0</v>
      </c>
      <c r="E16" s="258"/>
      <c r="F16" s="258"/>
      <c r="G16" s="258"/>
    </row>
    <row r="17" spans="1:9" s="183" customFormat="1" ht="15" customHeight="1" x14ac:dyDescent="0.2">
      <c r="A17" s="180" t="s">
        <v>6</v>
      </c>
      <c r="B17" s="181"/>
      <c r="C17" s="182" t="s">
        <v>799</v>
      </c>
      <c r="D17" s="254">
        <f>SUM(D18:D21)</f>
        <v>0</v>
      </c>
      <c r="E17" s="254">
        <f>SUM(E18:E21)</f>
        <v>0</v>
      </c>
      <c r="F17" s="254">
        <f>SUM(F18:F21)</f>
        <v>0</v>
      </c>
      <c r="G17" s="254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800</v>
      </c>
      <c r="D18" s="255"/>
      <c r="E18" s="255"/>
      <c r="F18" s="255"/>
      <c r="G18" s="255" t="e">
        <f>F18/E18*100</f>
        <v>#DIV/0!</v>
      </c>
    </row>
    <row r="19" spans="1:9" s="187" customFormat="1" ht="15" customHeight="1" x14ac:dyDescent="0.2">
      <c r="A19" s="184"/>
      <c r="B19" s="185" t="s">
        <v>9</v>
      </c>
      <c r="C19" s="15" t="s">
        <v>801</v>
      </c>
      <c r="D19" s="255"/>
      <c r="E19" s="255"/>
      <c r="F19" s="255"/>
      <c r="G19" s="255"/>
    </row>
    <row r="20" spans="1:9" s="187" customFormat="1" ht="15" customHeight="1" x14ac:dyDescent="0.2">
      <c r="A20" s="184"/>
      <c r="B20" s="185" t="s">
        <v>11</v>
      </c>
      <c r="C20" s="15" t="s">
        <v>802</v>
      </c>
      <c r="D20" s="255"/>
      <c r="E20" s="255"/>
      <c r="F20" s="255"/>
      <c r="G20" s="255"/>
    </row>
    <row r="21" spans="1:9" s="187" customFormat="1" ht="15" customHeight="1" x14ac:dyDescent="0.2">
      <c r="A21" s="184"/>
      <c r="B21" s="185" t="s">
        <v>13</v>
      </c>
      <c r="C21" s="15" t="s">
        <v>803</v>
      </c>
      <c r="D21" s="255"/>
      <c r="E21" s="255"/>
      <c r="F21" s="255"/>
      <c r="G21" s="255" t="e">
        <f>F21/E21*100</f>
        <v>#DIV/0!</v>
      </c>
    </row>
    <row r="22" spans="1:9" s="187" customFormat="1" ht="15" customHeight="1" x14ac:dyDescent="0.2">
      <c r="A22" s="180" t="s">
        <v>20</v>
      </c>
      <c r="B22" s="12"/>
      <c r="C22" s="12" t="s">
        <v>804</v>
      </c>
      <c r="D22" s="220">
        <v>0</v>
      </c>
      <c r="E22" s="220">
        <v>0</v>
      </c>
      <c r="F22" s="220">
        <v>0</v>
      </c>
      <c r="G22" s="220"/>
    </row>
    <row r="23" spans="1:9" s="183" customFormat="1" ht="15" customHeight="1" x14ac:dyDescent="0.2">
      <c r="A23" s="180" t="s">
        <v>150</v>
      </c>
      <c r="B23" s="181"/>
      <c r="C23" s="12" t="s">
        <v>846</v>
      </c>
      <c r="D23" s="220">
        <v>0</v>
      </c>
      <c r="E23" s="220">
        <v>0</v>
      </c>
      <c r="F23" s="220">
        <v>0</v>
      </c>
      <c r="G23" s="220"/>
    </row>
    <row r="24" spans="1:9" s="183" customFormat="1" ht="15" customHeight="1" x14ac:dyDescent="0.2">
      <c r="A24" s="180" t="s">
        <v>39</v>
      </c>
      <c r="B24" s="209"/>
      <c r="C24" s="12" t="s">
        <v>847</v>
      </c>
      <c r="D24" s="266">
        <f>+D25+D26</f>
        <v>0</v>
      </c>
      <c r="E24" s="266">
        <f>+E25+E26</f>
        <v>0</v>
      </c>
      <c r="F24" s="266">
        <f>+F25+F26</f>
        <v>0</v>
      </c>
      <c r="G24" s="266"/>
    </row>
    <row r="25" spans="1:9" s="183" customFormat="1" ht="15" customHeight="1" x14ac:dyDescent="0.2">
      <c r="A25" s="192"/>
      <c r="B25" s="199" t="s">
        <v>40</v>
      </c>
      <c r="C25" s="19" t="s">
        <v>808</v>
      </c>
      <c r="D25" s="267">
        <v>0</v>
      </c>
      <c r="E25" s="267">
        <v>0</v>
      </c>
      <c r="F25" s="267">
        <v>0</v>
      </c>
      <c r="G25" s="267"/>
    </row>
    <row r="26" spans="1:9" s="183" customFormat="1" ht="15" customHeight="1" x14ac:dyDescent="0.2">
      <c r="A26" s="202"/>
      <c r="B26" s="203" t="s">
        <v>41</v>
      </c>
      <c r="C26" s="24" t="s">
        <v>809</v>
      </c>
      <c r="D26" s="261">
        <v>0</v>
      </c>
      <c r="E26" s="261">
        <v>0</v>
      </c>
      <c r="F26" s="261">
        <v>0</v>
      </c>
      <c r="G26" s="261"/>
    </row>
    <row r="27" spans="1:9" s="187" customFormat="1" ht="15" customHeight="1" x14ac:dyDescent="0.25">
      <c r="A27" s="212" t="s">
        <v>49</v>
      </c>
      <c r="B27" s="213"/>
      <c r="C27" s="12" t="s">
        <v>848</v>
      </c>
      <c r="D27" s="220"/>
      <c r="E27" s="220"/>
      <c r="F27" s="220"/>
      <c r="G27" s="220" t="e">
        <f>F27/E27*100</f>
        <v>#DIV/0!</v>
      </c>
      <c r="I27" s="201"/>
    </row>
    <row r="28" spans="1:9" s="187" customFormat="1" ht="15" customHeight="1" x14ac:dyDescent="0.25">
      <c r="A28" s="212"/>
      <c r="B28" s="213"/>
      <c r="C28" s="12" t="s">
        <v>849</v>
      </c>
      <c r="D28" s="220"/>
      <c r="E28" s="220"/>
      <c r="F28" s="220"/>
      <c r="G28" s="220"/>
    </row>
    <row r="29" spans="1:9" s="187" customFormat="1" ht="15" customHeight="1" x14ac:dyDescent="0.2">
      <c r="A29" s="268" t="s">
        <v>179</v>
      </c>
      <c r="B29" s="269"/>
      <c r="C29" s="480" t="s">
        <v>850</v>
      </c>
      <c r="D29" s="270">
        <f>SUM(D8,D17,D22,D23,D24,D27)</f>
        <v>0</v>
      </c>
      <c r="E29" s="270">
        <f>SUM(E8,E17,E22,E23,E24,E27,E28)</f>
        <v>0</v>
      </c>
      <c r="F29" s="270">
        <f>SUM(F8,F17,F22,F23,F24,F27,F28)</f>
        <v>0</v>
      </c>
      <c r="G29" s="270" t="e">
        <f>F29/E29*100</f>
        <v>#DIV/0!</v>
      </c>
    </row>
    <row r="30" spans="1:9" s="187" customFormat="1" ht="15" customHeight="1" x14ac:dyDescent="0.2">
      <c r="A30" s="462"/>
      <c r="B30" s="462"/>
      <c r="C30" s="481"/>
      <c r="D30" s="514"/>
      <c r="E30" s="514"/>
      <c r="F30" s="514"/>
      <c r="G30" s="514"/>
    </row>
    <row r="31" spans="1:9" s="538" customFormat="1" ht="15" customHeight="1" x14ac:dyDescent="0.2">
      <c r="A31" s="268"/>
      <c r="B31" s="269"/>
      <c r="C31" s="513" t="s">
        <v>199</v>
      </c>
      <c r="D31" s="270"/>
      <c r="E31" s="270"/>
      <c r="F31" s="270"/>
      <c r="G31" s="270"/>
    </row>
    <row r="32" spans="1:9" s="183" customFormat="1" ht="15" customHeight="1" x14ac:dyDescent="0.2">
      <c r="A32" s="180" t="s">
        <v>5</v>
      </c>
      <c r="B32" s="12"/>
      <c r="C32" s="67" t="s">
        <v>102</v>
      </c>
      <c r="D32" s="254">
        <f>SUM(D33:D37)</f>
        <v>0</v>
      </c>
      <c r="E32" s="254">
        <f>SUM(E33:E37)</f>
        <v>0</v>
      </c>
      <c r="F32" s="254">
        <f>SUM(F33:F37)</f>
        <v>0</v>
      </c>
      <c r="G32" s="254" t="e">
        <f>F32/E32*100</f>
        <v>#DIV/0!</v>
      </c>
      <c r="I32" s="531">
        <f>SUM(D35-D29)</f>
        <v>0</v>
      </c>
    </row>
    <row r="33" spans="1:7" s="187" customFormat="1" ht="15" customHeight="1" x14ac:dyDescent="0.2">
      <c r="A33" s="204"/>
      <c r="B33" s="231" t="s">
        <v>103</v>
      </c>
      <c r="C33" s="27" t="s">
        <v>104</v>
      </c>
      <c r="D33" s="262"/>
      <c r="E33" s="262"/>
      <c r="F33" s="262"/>
      <c r="G33" s="262" t="e">
        <f>F33/E33*100</f>
        <v>#DIV/0!</v>
      </c>
    </row>
    <row r="34" spans="1:7" s="187" customFormat="1" ht="15" customHeight="1" x14ac:dyDescent="0.2">
      <c r="A34" s="184"/>
      <c r="B34" s="200" t="s">
        <v>105</v>
      </c>
      <c r="C34" s="15" t="s">
        <v>106</v>
      </c>
      <c r="D34" s="255"/>
      <c r="E34" s="255"/>
      <c r="F34" s="255"/>
      <c r="G34" s="255" t="e">
        <f>F34/E34*100</f>
        <v>#DIV/0!</v>
      </c>
    </row>
    <row r="35" spans="1:7" s="187" customFormat="1" ht="15" customHeight="1" x14ac:dyDescent="0.2">
      <c r="A35" s="184"/>
      <c r="B35" s="200" t="s">
        <v>107</v>
      </c>
      <c r="C35" s="15" t="s">
        <v>108</v>
      </c>
      <c r="D35" s="255"/>
      <c r="E35" s="255"/>
      <c r="F35" s="255"/>
      <c r="G35" s="255" t="e">
        <f>F35/E35*100</f>
        <v>#DIV/0!</v>
      </c>
    </row>
    <row r="36" spans="1:7" s="187" customFormat="1" ht="15" customHeight="1" x14ac:dyDescent="0.2">
      <c r="A36" s="184"/>
      <c r="B36" s="200" t="s">
        <v>109</v>
      </c>
      <c r="C36" s="15" t="s">
        <v>110</v>
      </c>
      <c r="D36" s="255">
        <v>0</v>
      </c>
      <c r="E36" s="255">
        <v>0</v>
      </c>
      <c r="F36" s="255">
        <v>0</v>
      </c>
      <c r="G36" s="255"/>
    </row>
    <row r="37" spans="1:7" s="187" customFormat="1" ht="15" customHeight="1" x14ac:dyDescent="0.2">
      <c r="A37" s="184"/>
      <c r="B37" s="200" t="s">
        <v>111</v>
      </c>
      <c r="C37" s="15" t="s">
        <v>112</v>
      </c>
      <c r="D37" s="255">
        <v>0</v>
      </c>
      <c r="E37" s="255">
        <v>0</v>
      </c>
      <c r="F37" s="255">
        <v>0</v>
      </c>
      <c r="G37" s="255"/>
    </row>
    <row r="38" spans="1:7" s="187" customFormat="1" ht="15" customHeight="1" x14ac:dyDescent="0.2">
      <c r="A38" s="180" t="s">
        <v>6</v>
      </c>
      <c r="B38" s="12"/>
      <c r="C38" s="67" t="s">
        <v>823</v>
      </c>
      <c r="D38" s="254">
        <f>SUM(D39:D42)</f>
        <v>0</v>
      </c>
      <c r="E38" s="254">
        <f>SUM(E39:E42)</f>
        <v>0</v>
      </c>
      <c r="F38" s="254">
        <f>SUM(F39:F42)</f>
        <v>0</v>
      </c>
      <c r="G38" s="254" t="e">
        <f>F38/E38*100</f>
        <v>#DIV/0!</v>
      </c>
    </row>
    <row r="39" spans="1:7" s="183" customFormat="1" ht="15" customHeight="1" x14ac:dyDescent="0.2">
      <c r="A39" s="204"/>
      <c r="B39" s="231" t="s">
        <v>7</v>
      </c>
      <c r="C39" s="27" t="s">
        <v>816</v>
      </c>
      <c r="D39" s="262">
        <v>0</v>
      </c>
      <c r="E39" s="262"/>
      <c r="F39" s="262"/>
      <c r="G39" s="262" t="e">
        <f>F39/E39*100</f>
        <v>#DIV/0!</v>
      </c>
    </row>
    <row r="40" spans="1:7" s="187" customFormat="1" ht="15" customHeight="1" x14ac:dyDescent="0.2">
      <c r="A40" s="184"/>
      <c r="B40" s="200" t="s">
        <v>9</v>
      </c>
      <c r="C40" s="15" t="s">
        <v>135</v>
      </c>
      <c r="D40" s="255">
        <v>0</v>
      </c>
      <c r="E40" s="255"/>
      <c r="F40" s="255"/>
      <c r="G40" s="255"/>
    </row>
    <row r="41" spans="1:7" s="187" customFormat="1" ht="30.75" customHeight="1" x14ac:dyDescent="0.2">
      <c r="A41" s="184"/>
      <c r="B41" s="200" t="s">
        <v>15</v>
      </c>
      <c r="C41" s="15" t="s">
        <v>138</v>
      </c>
      <c r="D41" s="255">
        <v>0</v>
      </c>
      <c r="E41" s="255">
        <v>0</v>
      </c>
      <c r="F41" s="255">
        <v>0</v>
      </c>
      <c r="G41" s="255"/>
    </row>
    <row r="42" spans="1:7" s="187" customFormat="1" ht="15" customHeight="1" x14ac:dyDescent="0.2">
      <c r="A42" s="184"/>
      <c r="B42" s="200" t="s">
        <v>19</v>
      </c>
      <c r="C42" s="15" t="s">
        <v>817</v>
      </c>
      <c r="D42" s="255">
        <v>0</v>
      </c>
      <c r="E42" s="255">
        <v>0</v>
      </c>
      <c r="F42" s="255">
        <v>0</v>
      </c>
      <c r="G42" s="255"/>
    </row>
    <row r="43" spans="1:7" s="187" customFormat="1" ht="15" customHeight="1" x14ac:dyDescent="0.2">
      <c r="A43" s="180" t="s">
        <v>20</v>
      </c>
      <c r="B43" s="12"/>
      <c r="C43" s="67" t="s">
        <v>818</v>
      </c>
      <c r="D43" s="220">
        <v>0</v>
      </c>
      <c r="E43" s="220">
        <v>0</v>
      </c>
      <c r="F43" s="220">
        <v>0</v>
      </c>
      <c r="G43" s="220"/>
    </row>
    <row r="44" spans="1:7" s="187" customFormat="1" ht="15" customHeight="1" x14ac:dyDescent="0.2">
      <c r="A44" s="180"/>
      <c r="B44" s="12"/>
      <c r="C44" s="67" t="s">
        <v>819</v>
      </c>
      <c r="D44" s="220"/>
      <c r="E44" s="220"/>
      <c r="F44" s="220"/>
      <c r="G44" s="220"/>
    </row>
    <row r="45" spans="1:7" s="187" customFormat="1" ht="15" customHeight="1" x14ac:dyDescent="0.2">
      <c r="A45" s="268" t="s">
        <v>150</v>
      </c>
      <c r="B45" s="269"/>
      <c r="C45" s="480" t="s">
        <v>820</v>
      </c>
      <c r="D45" s="270">
        <f>+D32+D38+D43</f>
        <v>0</v>
      </c>
      <c r="E45" s="270">
        <f>+E32+E38+E43+E44</f>
        <v>0</v>
      </c>
      <c r="F45" s="270">
        <f>+F32+F38+F43+F44</f>
        <v>0</v>
      </c>
      <c r="G45" s="270" t="e">
        <f>F45/E45*100</f>
        <v>#DIV/0!</v>
      </c>
    </row>
    <row r="46" spans="1:7" s="187" customFormat="1" ht="15" customHeight="1" x14ac:dyDescent="0.2">
      <c r="A46" s="242"/>
      <c r="B46" s="243"/>
      <c r="C46" s="243"/>
      <c r="D46" s="516"/>
      <c r="E46" s="516"/>
      <c r="F46" s="516"/>
      <c r="G46" s="516"/>
    </row>
    <row r="47" spans="1:7" s="187" customFormat="1" ht="15" customHeight="1" x14ac:dyDescent="0.2">
      <c r="A47" s="244" t="s">
        <v>297</v>
      </c>
      <c r="B47" s="245"/>
      <c r="C47" s="246"/>
      <c r="D47" s="247"/>
      <c r="E47" s="247"/>
      <c r="F47" s="247"/>
      <c r="G47" s="247"/>
    </row>
    <row r="48" spans="1:7" s="187" customFormat="1" ht="15" customHeight="1" x14ac:dyDescent="0.2">
      <c r="A48" s="244" t="s">
        <v>298</v>
      </c>
      <c r="B48" s="245"/>
      <c r="C48" s="246"/>
      <c r="D48" s="482"/>
      <c r="E48" s="482"/>
      <c r="F48" s="482"/>
      <c r="G48" s="482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31496062992125984" right="0.27559055118110237" top="0.55118110236220474" bottom="0.39370078740157483" header="0.51181102362204722" footer="0.19685039370078741"/>
  <pageSetup paperSize="9" scale="95" firstPageNumber="46" orientation="portrait" useFirstPageNumber="1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31" zoomScaleNormal="130" workbookViewId="0">
      <selection activeCell="L19" sqref="L19"/>
    </sheetView>
  </sheetViews>
  <sheetFormatPr defaultRowHeight="12.75" x14ac:dyDescent="0.2"/>
  <cols>
    <col min="1" max="1" width="6.5" style="161" customWidth="1"/>
    <col min="2" max="2" width="9.6640625" style="162" customWidth="1"/>
    <col min="3" max="3" width="64.1640625" style="162" customWidth="1"/>
    <col min="4" max="4" width="19" style="162" customWidth="1"/>
    <col min="5" max="6" width="14.83203125" style="162" hidden="1" customWidth="1"/>
    <col min="7" max="7" width="10" style="162" hidden="1" customWidth="1"/>
    <col min="8" max="16384" width="9.33203125" style="162"/>
  </cols>
  <sheetData>
    <row r="1" spans="1:7" s="536" customFormat="1" ht="15" customHeight="1" x14ac:dyDescent="0.2">
      <c r="A1" s="446"/>
      <c r="B1" s="447"/>
      <c r="C1" s="448"/>
      <c r="D1" s="1609" t="s">
        <v>864</v>
      </c>
      <c r="E1" s="1609"/>
      <c r="F1" s="1609"/>
      <c r="G1" s="1609"/>
    </row>
    <row r="2" spans="1:7" s="537" customFormat="1" ht="30" customHeight="1" x14ac:dyDescent="0.2">
      <c r="A2" s="1573" t="s">
        <v>796</v>
      </c>
      <c r="B2" s="1573"/>
      <c r="C2" s="163" t="s">
        <v>865</v>
      </c>
      <c r="D2" s="1615" t="s">
        <v>1481</v>
      </c>
      <c r="E2" s="469"/>
      <c r="F2" s="469"/>
      <c r="G2" s="469"/>
    </row>
    <row r="3" spans="1:7" s="537" customFormat="1" ht="30" customHeight="1" x14ac:dyDescent="0.2">
      <c r="A3" s="1573" t="s">
        <v>264</v>
      </c>
      <c r="B3" s="1573"/>
      <c r="C3" s="166" t="s">
        <v>866</v>
      </c>
      <c r="D3" s="1616"/>
      <c r="E3" s="450"/>
      <c r="F3" s="450"/>
      <c r="G3" s="450"/>
    </row>
    <row r="4" spans="1:7" s="537" customFormat="1" ht="15" customHeight="1" x14ac:dyDescent="0.25">
      <c r="A4" s="167"/>
      <c r="B4" s="167"/>
      <c r="C4" s="167"/>
      <c r="D4" s="1590" t="s">
        <v>1482</v>
      </c>
      <c r="E4" s="1590"/>
      <c r="F4" s="1590"/>
      <c r="G4" s="168" t="s">
        <v>196</v>
      </c>
    </row>
    <row r="5" spans="1:7" s="187" customFormat="1" ht="49.5" customHeight="1" x14ac:dyDescent="0.2">
      <c r="A5" s="1572" t="s">
        <v>266</v>
      </c>
      <c r="B5" s="1572"/>
      <c r="C5" s="171" t="s">
        <v>267</v>
      </c>
      <c r="D5" s="172" t="s">
        <v>268</v>
      </c>
      <c r="E5" s="172" t="s">
        <v>269</v>
      </c>
      <c r="F5" s="172" t="s">
        <v>270</v>
      </c>
      <c r="G5" s="172" t="s">
        <v>3</v>
      </c>
    </row>
    <row r="6" spans="1:7" s="538" customFormat="1" ht="15" customHeight="1" x14ac:dyDescent="0.2">
      <c r="A6" s="170">
        <v>1</v>
      </c>
      <c r="B6" s="173">
        <v>2</v>
      </c>
      <c r="C6" s="173">
        <v>3</v>
      </c>
      <c r="D6" s="174">
        <v>4</v>
      </c>
      <c r="E6" s="174">
        <v>5</v>
      </c>
      <c r="F6" s="174">
        <v>6</v>
      </c>
      <c r="G6" s="174">
        <v>7</v>
      </c>
    </row>
    <row r="7" spans="1:7" s="538" customFormat="1" ht="15" customHeight="1" x14ac:dyDescent="0.2">
      <c r="A7" s="268"/>
      <c r="B7" s="269"/>
      <c r="C7" s="513" t="s">
        <v>198</v>
      </c>
      <c r="D7" s="270"/>
      <c r="E7" s="270"/>
      <c r="F7" s="270"/>
      <c r="G7" s="270"/>
    </row>
    <row r="8" spans="1:7" s="183" customFormat="1" ht="15" customHeight="1" x14ac:dyDescent="0.2">
      <c r="A8" s="180" t="s">
        <v>5</v>
      </c>
      <c r="B8" s="181"/>
      <c r="C8" s="182" t="s">
        <v>798</v>
      </c>
      <c r="D8" s="254">
        <f>SUM(D9:D16)</f>
        <v>0</v>
      </c>
      <c r="E8" s="254">
        <f>SUM(E9:E16)</f>
        <v>0</v>
      </c>
      <c r="F8" s="254">
        <f>SUM(F9:F16)</f>
        <v>0</v>
      </c>
      <c r="G8" s="254" t="e">
        <f>F8/E8*100</f>
        <v>#DIV/0!</v>
      </c>
    </row>
    <row r="9" spans="1:7" s="183" customFormat="1" ht="15" customHeight="1" x14ac:dyDescent="0.2">
      <c r="A9" s="192"/>
      <c r="B9" s="185" t="s">
        <v>103</v>
      </c>
      <c r="C9" s="19" t="s">
        <v>23</v>
      </c>
      <c r="D9" s="257"/>
      <c r="E9" s="257"/>
      <c r="F9" s="257"/>
      <c r="G9" s="257"/>
    </row>
    <row r="10" spans="1:7" s="183" customFormat="1" ht="15" customHeight="1" x14ac:dyDescent="0.2">
      <c r="A10" s="184"/>
      <c r="B10" s="185" t="s">
        <v>105</v>
      </c>
      <c r="C10" s="15" t="s">
        <v>25</v>
      </c>
      <c r="D10" s="255"/>
      <c r="E10" s="255"/>
      <c r="F10" s="255"/>
      <c r="G10" s="255" t="e">
        <f>F10/E10*100</f>
        <v>#DIV/0!</v>
      </c>
    </row>
    <row r="11" spans="1:7" s="183" customFormat="1" ht="15" customHeight="1" x14ac:dyDescent="0.2">
      <c r="A11" s="184"/>
      <c r="B11" s="185" t="s">
        <v>107</v>
      </c>
      <c r="C11" s="15" t="s">
        <v>27</v>
      </c>
      <c r="D11" s="255"/>
      <c r="E11" s="255"/>
      <c r="F11" s="255"/>
      <c r="G11" s="255"/>
    </row>
    <row r="12" spans="1:7" s="183" customFormat="1" ht="15" customHeight="1" x14ac:dyDescent="0.2">
      <c r="A12" s="184"/>
      <c r="B12" s="185" t="s">
        <v>109</v>
      </c>
      <c r="C12" s="15" t="s">
        <v>29</v>
      </c>
      <c r="D12" s="255"/>
      <c r="E12" s="255"/>
      <c r="F12" s="255"/>
      <c r="G12" s="255"/>
    </row>
    <row r="13" spans="1:7" s="183" customFormat="1" ht="15" customHeight="1" x14ac:dyDescent="0.2">
      <c r="A13" s="184"/>
      <c r="B13" s="185" t="s">
        <v>451</v>
      </c>
      <c r="C13" s="22" t="s">
        <v>31</v>
      </c>
      <c r="D13" s="255"/>
      <c r="E13" s="255"/>
      <c r="F13" s="255"/>
      <c r="G13" s="255"/>
    </row>
    <row r="14" spans="1:7" s="183" customFormat="1" ht="15" customHeight="1" x14ac:dyDescent="0.2">
      <c r="A14" s="188"/>
      <c r="B14" s="185" t="s">
        <v>454</v>
      </c>
      <c r="C14" s="15" t="s">
        <v>33</v>
      </c>
      <c r="D14" s="256"/>
      <c r="E14" s="256"/>
      <c r="F14" s="256"/>
      <c r="G14" s="256"/>
    </row>
    <row r="15" spans="1:7" s="187" customFormat="1" ht="15" customHeight="1" x14ac:dyDescent="0.2">
      <c r="A15" s="184"/>
      <c r="B15" s="185" t="s">
        <v>457</v>
      </c>
      <c r="C15" s="15" t="s">
        <v>35</v>
      </c>
      <c r="D15" s="255"/>
      <c r="E15" s="255"/>
      <c r="F15" s="255"/>
      <c r="G15" s="255"/>
    </row>
    <row r="16" spans="1:7" s="187" customFormat="1" ht="15" customHeight="1" x14ac:dyDescent="0.2">
      <c r="A16" s="194"/>
      <c r="B16" s="195" t="s">
        <v>459</v>
      </c>
      <c r="C16" s="22" t="s">
        <v>37</v>
      </c>
      <c r="D16" s="258"/>
      <c r="E16" s="258"/>
      <c r="F16" s="258"/>
      <c r="G16" s="258"/>
    </row>
    <row r="17" spans="1:9" s="183" customFormat="1" ht="15" customHeight="1" x14ac:dyDescent="0.2">
      <c r="A17" s="180" t="s">
        <v>6</v>
      </c>
      <c r="B17" s="181"/>
      <c r="C17" s="182" t="s">
        <v>799</v>
      </c>
      <c r="D17" s="254">
        <f>SUM(D18:D21)</f>
        <v>0</v>
      </c>
      <c r="E17" s="254">
        <f>SUM(E18:E21)</f>
        <v>0</v>
      </c>
      <c r="F17" s="254">
        <f>SUM(F18:F21)</f>
        <v>0</v>
      </c>
      <c r="G17" s="254" t="e">
        <f>F17/E17*100</f>
        <v>#DIV/0!</v>
      </c>
    </row>
    <row r="18" spans="1:9" s="187" customFormat="1" ht="15" customHeight="1" x14ac:dyDescent="0.2">
      <c r="A18" s="184"/>
      <c r="B18" s="185" t="s">
        <v>7</v>
      </c>
      <c r="C18" s="27" t="s">
        <v>800</v>
      </c>
      <c r="D18" s="255"/>
      <c r="E18" s="255"/>
      <c r="F18" s="255"/>
      <c r="G18" s="255" t="e">
        <f>F18/E18*100</f>
        <v>#DIV/0!</v>
      </c>
    </row>
    <row r="19" spans="1:9" s="187" customFormat="1" ht="15" customHeight="1" x14ac:dyDescent="0.2">
      <c r="A19" s="184"/>
      <c r="B19" s="185" t="s">
        <v>9</v>
      </c>
      <c r="C19" s="15" t="s">
        <v>801</v>
      </c>
      <c r="D19" s="255">
        <v>0</v>
      </c>
      <c r="E19" s="255">
        <v>0</v>
      </c>
      <c r="F19" s="255">
        <v>0</v>
      </c>
      <c r="G19" s="255"/>
    </row>
    <row r="20" spans="1:9" s="187" customFormat="1" ht="15" customHeight="1" x14ac:dyDescent="0.2">
      <c r="A20" s="184"/>
      <c r="B20" s="185" t="s">
        <v>11</v>
      </c>
      <c r="C20" s="15" t="s">
        <v>802</v>
      </c>
      <c r="D20" s="255">
        <v>0</v>
      </c>
      <c r="E20" s="255">
        <v>0</v>
      </c>
      <c r="F20" s="255">
        <v>0</v>
      </c>
      <c r="G20" s="255"/>
    </row>
    <row r="21" spans="1:9" s="187" customFormat="1" ht="15" customHeight="1" x14ac:dyDescent="0.2">
      <c r="A21" s="184"/>
      <c r="B21" s="185" t="s">
        <v>13</v>
      </c>
      <c r="C21" s="15" t="s">
        <v>803</v>
      </c>
      <c r="D21" s="255">
        <v>0</v>
      </c>
      <c r="E21" s="255">
        <v>0</v>
      </c>
      <c r="F21" s="255">
        <v>0</v>
      </c>
      <c r="G21" s="255"/>
    </row>
    <row r="22" spans="1:9" s="187" customFormat="1" ht="15" customHeight="1" x14ac:dyDescent="0.2">
      <c r="A22" s="180" t="s">
        <v>20</v>
      </c>
      <c r="B22" s="12"/>
      <c r="C22" s="12" t="s">
        <v>804</v>
      </c>
      <c r="D22" s="220">
        <v>0</v>
      </c>
      <c r="E22" s="220">
        <v>0</v>
      </c>
      <c r="F22" s="220">
        <v>0</v>
      </c>
      <c r="G22" s="220"/>
    </row>
    <row r="23" spans="1:9" s="183" customFormat="1" ht="15" customHeight="1" x14ac:dyDescent="0.2">
      <c r="A23" s="180" t="s">
        <v>150</v>
      </c>
      <c r="B23" s="181"/>
      <c r="C23" s="12" t="s">
        <v>846</v>
      </c>
      <c r="D23" s="220">
        <v>0</v>
      </c>
      <c r="E23" s="220">
        <v>0</v>
      </c>
      <c r="F23" s="220">
        <v>0</v>
      </c>
      <c r="G23" s="220"/>
    </row>
    <row r="24" spans="1:9" s="183" customFormat="1" ht="15" customHeight="1" x14ac:dyDescent="0.2">
      <c r="A24" s="180" t="s">
        <v>39</v>
      </c>
      <c r="B24" s="209"/>
      <c r="C24" s="12" t="s">
        <v>847</v>
      </c>
      <c r="D24" s="266">
        <f>+D25+D26</f>
        <v>0</v>
      </c>
      <c r="E24" s="266">
        <f>+E25+E26</f>
        <v>0</v>
      </c>
      <c r="F24" s="266">
        <f>+F25+F26</f>
        <v>0</v>
      </c>
      <c r="G24" s="266"/>
    </row>
    <row r="25" spans="1:9" s="183" customFormat="1" ht="15" customHeight="1" x14ac:dyDescent="0.2">
      <c r="A25" s="192"/>
      <c r="B25" s="199" t="s">
        <v>40</v>
      </c>
      <c r="C25" s="19" t="s">
        <v>808</v>
      </c>
      <c r="D25" s="267">
        <v>0</v>
      </c>
      <c r="E25" s="267">
        <v>0</v>
      </c>
      <c r="F25" s="267">
        <v>0</v>
      </c>
      <c r="G25" s="267"/>
    </row>
    <row r="26" spans="1:9" s="183" customFormat="1" ht="15" customHeight="1" x14ac:dyDescent="0.2">
      <c r="A26" s="202"/>
      <c r="B26" s="203" t="s">
        <v>41</v>
      </c>
      <c r="C26" s="24" t="s">
        <v>809</v>
      </c>
      <c r="D26" s="261">
        <v>0</v>
      </c>
      <c r="E26" s="261">
        <v>0</v>
      </c>
      <c r="F26" s="261">
        <v>0</v>
      </c>
      <c r="G26" s="261"/>
    </row>
    <row r="27" spans="1:9" s="187" customFormat="1" ht="15" customHeight="1" x14ac:dyDescent="0.25">
      <c r="A27" s="212" t="s">
        <v>49</v>
      </c>
      <c r="B27" s="213"/>
      <c r="C27" s="12" t="s">
        <v>848</v>
      </c>
      <c r="D27" s="220"/>
      <c r="E27" s="220"/>
      <c r="F27" s="220"/>
      <c r="G27" s="220" t="e">
        <f>F27/E27*100</f>
        <v>#DIV/0!</v>
      </c>
    </row>
    <row r="28" spans="1:9" s="187" customFormat="1" ht="15" customHeight="1" x14ac:dyDescent="0.25">
      <c r="A28" s="212"/>
      <c r="B28" s="213"/>
      <c r="C28" s="12" t="s">
        <v>849</v>
      </c>
      <c r="D28" s="220"/>
      <c r="E28" s="220"/>
      <c r="F28" s="220"/>
      <c r="G28" s="220"/>
    </row>
    <row r="29" spans="1:9" s="187" customFormat="1" ht="15" customHeight="1" x14ac:dyDescent="0.2">
      <c r="A29" s="268" t="s">
        <v>179</v>
      </c>
      <c r="B29" s="269"/>
      <c r="C29" s="480" t="s">
        <v>850</v>
      </c>
      <c r="D29" s="270">
        <f>SUM(D8,D17,D22,D23,D24,D27)</f>
        <v>0</v>
      </c>
      <c r="E29" s="270">
        <f>SUM(E8,E17,E22,E23,E24,E27,E28)</f>
        <v>0</v>
      </c>
      <c r="F29" s="270">
        <f>SUM(F8,F17,F22,F23,F24,F27,F28)</f>
        <v>0</v>
      </c>
      <c r="G29" s="270" t="e">
        <f>F29/E29*100</f>
        <v>#DIV/0!</v>
      </c>
      <c r="I29" s="201"/>
    </row>
    <row r="30" spans="1:9" s="187" customFormat="1" ht="15" customHeight="1" x14ac:dyDescent="0.2">
      <c r="A30" s="462"/>
      <c r="B30" s="462"/>
      <c r="C30" s="481"/>
      <c r="D30" s="514"/>
      <c r="E30" s="514"/>
      <c r="F30" s="514"/>
      <c r="G30" s="514"/>
    </row>
    <row r="31" spans="1:9" s="538" customFormat="1" ht="15" customHeight="1" x14ac:dyDescent="0.2">
      <c r="A31" s="268"/>
      <c r="B31" s="269"/>
      <c r="C31" s="513" t="s">
        <v>199</v>
      </c>
      <c r="D31" s="270"/>
      <c r="E31" s="270"/>
      <c r="F31" s="270"/>
      <c r="G31" s="270"/>
    </row>
    <row r="32" spans="1:9" s="183" customFormat="1" ht="15" customHeight="1" x14ac:dyDescent="0.2">
      <c r="A32" s="180" t="s">
        <v>5</v>
      </c>
      <c r="B32" s="12"/>
      <c r="C32" s="67" t="s">
        <v>102</v>
      </c>
      <c r="D32" s="254">
        <f>SUM(D33:D37)</f>
        <v>0</v>
      </c>
      <c r="E32" s="254">
        <f>SUM(E33:E37)</f>
        <v>0</v>
      </c>
      <c r="F32" s="254">
        <f>SUM(F33:F37)</f>
        <v>0</v>
      </c>
      <c r="G32" s="254" t="e">
        <f>F32/E32*100</f>
        <v>#DIV/0!</v>
      </c>
    </row>
    <row r="33" spans="1:7" s="187" customFormat="1" ht="15" customHeight="1" x14ac:dyDescent="0.2">
      <c r="A33" s="204"/>
      <c r="B33" s="231" t="s">
        <v>103</v>
      </c>
      <c r="C33" s="27" t="s">
        <v>104</v>
      </c>
      <c r="D33" s="262"/>
      <c r="E33" s="262"/>
      <c r="F33" s="262"/>
      <c r="G33" s="262" t="e">
        <f>F33/E33*100</f>
        <v>#DIV/0!</v>
      </c>
    </row>
    <row r="34" spans="1:7" s="187" customFormat="1" ht="15" customHeight="1" x14ac:dyDescent="0.2">
      <c r="A34" s="184"/>
      <c r="B34" s="200" t="s">
        <v>105</v>
      </c>
      <c r="C34" s="15" t="s">
        <v>106</v>
      </c>
      <c r="D34" s="255"/>
      <c r="E34" s="255"/>
      <c r="F34" s="255"/>
      <c r="G34" s="255" t="e">
        <f>F34/E34*100</f>
        <v>#DIV/0!</v>
      </c>
    </row>
    <row r="35" spans="1:7" s="187" customFormat="1" ht="15" customHeight="1" x14ac:dyDescent="0.2">
      <c r="A35" s="184"/>
      <c r="B35" s="200" t="s">
        <v>107</v>
      </c>
      <c r="C35" s="15" t="s">
        <v>108</v>
      </c>
      <c r="D35" s="255"/>
      <c r="E35" s="255"/>
      <c r="F35" s="255"/>
      <c r="G35" s="255" t="e">
        <f>F35/E35*100</f>
        <v>#DIV/0!</v>
      </c>
    </row>
    <row r="36" spans="1:7" s="187" customFormat="1" ht="15" customHeight="1" x14ac:dyDescent="0.2">
      <c r="A36" s="184"/>
      <c r="B36" s="200" t="s">
        <v>109</v>
      </c>
      <c r="C36" s="15" t="s">
        <v>110</v>
      </c>
      <c r="D36" s="255"/>
      <c r="E36" s="255"/>
      <c r="F36" s="255"/>
      <c r="G36" s="255"/>
    </row>
    <row r="37" spans="1:7" s="187" customFormat="1" ht="15" customHeight="1" x14ac:dyDescent="0.2">
      <c r="A37" s="184"/>
      <c r="B37" s="200" t="s">
        <v>111</v>
      </c>
      <c r="C37" s="15" t="s">
        <v>112</v>
      </c>
      <c r="D37" s="255">
        <v>0</v>
      </c>
      <c r="E37" s="255">
        <v>0</v>
      </c>
      <c r="F37" s="255">
        <v>0</v>
      </c>
      <c r="G37" s="255"/>
    </row>
    <row r="38" spans="1:7" s="187" customFormat="1" ht="15" customHeight="1" x14ac:dyDescent="0.2">
      <c r="A38" s="180" t="s">
        <v>6</v>
      </c>
      <c r="B38" s="12"/>
      <c r="C38" s="67" t="s">
        <v>823</v>
      </c>
      <c r="D38" s="254">
        <f>SUM(D39:D42)</f>
        <v>0</v>
      </c>
      <c r="E38" s="254">
        <f>SUM(E39:E42)</f>
        <v>0</v>
      </c>
      <c r="F38" s="254">
        <f>SUM(F39:F42)</f>
        <v>0</v>
      </c>
      <c r="G38" s="254"/>
    </row>
    <row r="39" spans="1:7" s="183" customFormat="1" ht="15" customHeight="1" x14ac:dyDescent="0.2">
      <c r="A39" s="204"/>
      <c r="B39" s="231" t="s">
        <v>7</v>
      </c>
      <c r="C39" s="27" t="s">
        <v>816</v>
      </c>
      <c r="D39" s="262">
        <v>0</v>
      </c>
      <c r="E39" s="262">
        <v>0</v>
      </c>
      <c r="F39" s="262">
        <v>0</v>
      </c>
      <c r="G39" s="262"/>
    </row>
    <row r="40" spans="1:7" s="187" customFormat="1" ht="15" customHeight="1" x14ac:dyDescent="0.2">
      <c r="A40" s="184"/>
      <c r="B40" s="200" t="s">
        <v>9</v>
      </c>
      <c r="C40" s="15" t="s">
        <v>135</v>
      </c>
      <c r="D40" s="255">
        <v>0</v>
      </c>
      <c r="E40" s="255">
        <v>0</v>
      </c>
      <c r="F40" s="255">
        <v>0</v>
      </c>
      <c r="G40" s="255"/>
    </row>
    <row r="41" spans="1:7" s="187" customFormat="1" ht="30" customHeight="1" x14ac:dyDescent="0.2">
      <c r="A41" s="184"/>
      <c r="B41" s="200" t="s">
        <v>15</v>
      </c>
      <c r="C41" s="15" t="s">
        <v>138</v>
      </c>
      <c r="D41" s="255">
        <v>0</v>
      </c>
      <c r="E41" s="255">
        <v>0</v>
      </c>
      <c r="F41" s="255">
        <v>0</v>
      </c>
      <c r="G41" s="255"/>
    </row>
    <row r="42" spans="1:7" s="187" customFormat="1" ht="15" customHeight="1" x14ac:dyDescent="0.2">
      <c r="A42" s="184"/>
      <c r="B42" s="200" t="s">
        <v>19</v>
      </c>
      <c r="C42" s="15" t="s">
        <v>817</v>
      </c>
      <c r="D42" s="255">
        <v>0</v>
      </c>
      <c r="E42" s="255">
        <v>0</v>
      </c>
      <c r="F42" s="255">
        <v>0</v>
      </c>
      <c r="G42" s="255"/>
    </row>
    <row r="43" spans="1:7" s="187" customFormat="1" ht="15" customHeight="1" x14ac:dyDescent="0.2">
      <c r="A43" s="180" t="s">
        <v>20</v>
      </c>
      <c r="B43" s="12"/>
      <c r="C43" s="67" t="s">
        <v>818</v>
      </c>
      <c r="D43" s="220">
        <v>0</v>
      </c>
      <c r="E43" s="220">
        <v>0</v>
      </c>
      <c r="F43" s="220">
        <v>0</v>
      </c>
      <c r="G43" s="220"/>
    </row>
    <row r="44" spans="1:7" s="187" customFormat="1" ht="15" customHeight="1" x14ac:dyDescent="0.2">
      <c r="A44" s="180"/>
      <c r="B44" s="12"/>
      <c r="C44" s="67" t="s">
        <v>819</v>
      </c>
      <c r="D44" s="220"/>
      <c r="E44" s="220"/>
      <c r="F44" s="220"/>
      <c r="G44" s="220"/>
    </row>
    <row r="45" spans="1:7" s="187" customFormat="1" ht="15" customHeight="1" x14ac:dyDescent="0.2">
      <c r="A45" s="268" t="s">
        <v>150</v>
      </c>
      <c r="B45" s="269"/>
      <c r="C45" s="480" t="s">
        <v>820</v>
      </c>
      <c r="D45" s="270">
        <f>+D32+D38+D43</f>
        <v>0</v>
      </c>
      <c r="E45" s="270">
        <f>+E32+E38+E43+E44</f>
        <v>0</v>
      </c>
      <c r="F45" s="270">
        <f>+F32+F38+F43+F44</f>
        <v>0</v>
      </c>
      <c r="G45" s="270" t="e">
        <f>F45/E45*100</f>
        <v>#DIV/0!</v>
      </c>
    </row>
    <row r="46" spans="1:7" s="187" customFormat="1" ht="15" customHeight="1" x14ac:dyDescent="0.2">
      <c r="A46" s="242"/>
      <c r="B46" s="243"/>
      <c r="C46" s="243"/>
      <c r="D46" s="516"/>
      <c r="E46" s="516"/>
      <c r="F46" s="516"/>
      <c r="G46" s="516"/>
    </row>
    <row r="47" spans="1:7" s="187" customFormat="1" ht="15" customHeight="1" x14ac:dyDescent="0.2">
      <c r="A47" s="244" t="s">
        <v>297</v>
      </c>
      <c r="B47" s="245"/>
      <c r="C47" s="246"/>
      <c r="D47" s="247"/>
      <c r="E47" s="247"/>
      <c r="F47" s="247"/>
      <c r="G47" s="247"/>
    </row>
    <row r="48" spans="1:7" s="187" customFormat="1" ht="15" customHeight="1" x14ac:dyDescent="0.2">
      <c r="A48" s="244" t="s">
        <v>298</v>
      </c>
      <c r="B48" s="245"/>
      <c r="C48" s="246"/>
      <c r="D48" s="482"/>
      <c r="E48" s="482"/>
      <c r="F48" s="482"/>
      <c r="G48" s="482"/>
    </row>
  </sheetData>
  <sheetProtection selectLockedCells="1" selectUnlockedCells="1"/>
  <mergeCells count="6">
    <mergeCell ref="D1:G1"/>
    <mergeCell ref="A2:B2"/>
    <mergeCell ref="A3:B3"/>
    <mergeCell ref="D4:F4"/>
    <mergeCell ref="A5:B5"/>
    <mergeCell ref="D2:D3"/>
  </mergeCells>
  <printOptions horizontalCentered="1"/>
  <pageMargins left="0.35433070866141736" right="0.27559055118110237" top="0.31496062992125984" bottom="0.32" header="0.15748031496062992" footer="0.15748031496062992"/>
  <pageSetup paperSize="9" firstPageNumber="47" orientation="portrait" useFirstPageNumber="1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zoomScaleNormal="70" zoomScaleSheetLayoutView="100" workbookViewId="0">
      <selection activeCell="L26" sqref="L26"/>
    </sheetView>
  </sheetViews>
  <sheetFormatPr defaultRowHeight="15" x14ac:dyDescent="0.25"/>
  <cols>
    <col min="1" max="1" width="67.83203125" style="1457" customWidth="1"/>
    <col min="2" max="2" width="18.83203125" style="1457" customWidth="1"/>
    <col min="3" max="3" width="17.6640625" style="1457" customWidth="1"/>
    <col min="4" max="4" width="21.5" style="1402" customWidth="1"/>
    <col min="5" max="5" width="20.6640625" style="1402" customWidth="1"/>
    <col min="6" max="6" width="21.33203125" style="1402" customWidth="1"/>
    <col min="7" max="11" width="22.83203125" style="1402" customWidth="1"/>
    <col min="12" max="12" width="22.83203125" style="1457" customWidth="1"/>
    <col min="13" max="16384" width="9.33203125" style="1457"/>
  </cols>
  <sheetData>
    <row r="1" spans="1:14" ht="20.25" x14ac:dyDescent="0.25">
      <c r="A1" s="1541" t="s">
        <v>1800</v>
      </c>
      <c r="B1" s="1541"/>
      <c r="C1" s="1541"/>
      <c r="D1" s="1541"/>
      <c r="E1" s="1541"/>
      <c r="F1" s="1541"/>
      <c r="G1" s="1541"/>
      <c r="H1" s="1541"/>
      <c r="I1" s="1541"/>
      <c r="J1" s="1541"/>
      <c r="K1" s="1541"/>
      <c r="L1" s="1456"/>
      <c r="M1" s="1456"/>
      <c r="N1" s="1456"/>
    </row>
    <row r="2" spans="1:14" ht="20.25" x14ac:dyDescent="0.3">
      <c r="A2" s="1550" t="s">
        <v>1619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</row>
    <row r="3" spans="1:14" ht="42.75" customHeight="1" thickBot="1" x14ac:dyDescent="0.3">
      <c r="D3" s="1403"/>
      <c r="E3" s="1403"/>
      <c r="F3" s="1403"/>
      <c r="G3" s="1403"/>
      <c r="H3" s="1403"/>
      <c r="I3" s="1403"/>
      <c r="J3" s="1403"/>
      <c r="K3" s="1403"/>
    </row>
    <row r="4" spans="1:14" ht="57.75" customHeight="1" x14ac:dyDescent="0.25">
      <c r="A4" s="1551" t="s">
        <v>1795</v>
      </c>
      <c r="B4" s="1553" t="s">
        <v>1745</v>
      </c>
      <c r="C4" s="1555" t="s">
        <v>1746</v>
      </c>
      <c r="D4" s="1458" t="s">
        <v>1747</v>
      </c>
      <c r="E4" s="1557" t="s">
        <v>1748</v>
      </c>
      <c r="F4" s="1558"/>
      <c r="G4" s="1557" t="s">
        <v>1749</v>
      </c>
      <c r="H4" s="1558"/>
      <c r="I4" s="1551" t="s">
        <v>808</v>
      </c>
      <c r="J4" s="1559" t="s">
        <v>1976</v>
      </c>
      <c r="K4" s="1560"/>
    </row>
    <row r="5" spans="1:14" ht="32.25" thickBot="1" x14ac:dyDescent="0.3">
      <c r="A5" s="1552"/>
      <c r="B5" s="1554"/>
      <c r="C5" s="1556"/>
      <c r="D5" s="1459" t="s">
        <v>1696</v>
      </c>
      <c r="E5" s="1460" t="s">
        <v>1796</v>
      </c>
      <c r="F5" s="1461" t="s">
        <v>1751</v>
      </c>
      <c r="G5" s="1460" t="s">
        <v>1750</v>
      </c>
      <c r="H5" s="1461" t="s">
        <v>1751</v>
      </c>
      <c r="I5" s="1552"/>
      <c r="J5" s="1462" t="s">
        <v>202</v>
      </c>
      <c r="K5" s="1463" t="s">
        <v>1752</v>
      </c>
    </row>
    <row r="6" spans="1:14" ht="21.75" customHeight="1" x14ac:dyDescent="0.25">
      <c r="A6" s="1464" t="s">
        <v>1995</v>
      </c>
      <c r="B6" s="1465">
        <v>399493</v>
      </c>
      <c r="C6" s="1466">
        <v>399493</v>
      </c>
      <c r="D6" s="1467">
        <v>12490</v>
      </c>
      <c r="E6" s="1467">
        <v>379768</v>
      </c>
      <c r="F6" s="1467"/>
      <c r="G6" s="1467"/>
      <c r="H6" s="1467"/>
      <c r="I6" s="1467"/>
      <c r="J6" s="1468">
        <f>SUM(C6-D6-E6-F6-G6-H6-I6)</f>
        <v>7235</v>
      </c>
      <c r="K6" s="1469">
        <f>SUM(C6-D6-E6-F6-G6-H6-I6-J6)</f>
        <v>0</v>
      </c>
    </row>
    <row r="7" spans="1:14" ht="21.75" customHeight="1" x14ac:dyDescent="0.25">
      <c r="A7" s="1464" t="s">
        <v>1996</v>
      </c>
      <c r="B7" s="1470">
        <v>2000</v>
      </c>
      <c r="C7" s="1471">
        <v>2000</v>
      </c>
      <c r="D7" s="1472"/>
      <c r="E7" s="1472"/>
      <c r="F7" s="1472"/>
      <c r="G7" s="1472"/>
      <c r="H7" s="1472"/>
      <c r="I7" s="1472"/>
      <c r="J7" s="1468">
        <f t="shared" ref="J7:J21" si="0">SUM(C7-D7-E7-F7-G7-H7-I7)</f>
        <v>2000</v>
      </c>
      <c r="K7" s="1469">
        <f t="shared" ref="K7:K21" si="1">SUM(C7-D7-E7-F7-G7-H7-I7-J7)</f>
        <v>0</v>
      </c>
    </row>
    <row r="8" spans="1:14" ht="21.75" customHeight="1" x14ac:dyDescent="0.25">
      <c r="A8" s="1464" t="s">
        <v>1997</v>
      </c>
      <c r="B8" s="1470">
        <v>3070</v>
      </c>
      <c r="C8" s="1470">
        <v>3070</v>
      </c>
      <c r="D8" s="1472"/>
      <c r="E8" s="1472"/>
      <c r="F8" s="1472"/>
      <c r="G8" s="1472"/>
      <c r="H8" s="1472"/>
      <c r="I8" s="1472"/>
      <c r="J8" s="1468">
        <f t="shared" si="0"/>
        <v>3070</v>
      </c>
      <c r="K8" s="1469"/>
    </row>
    <row r="9" spans="1:14" ht="21.75" customHeight="1" x14ac:dyDescent="0.25">
      <c r="A9" s="1464" t="s">
        <v>1998</v>
      </c>
      <c r="B9" s="1470">
        <v>31706</v>
      </c>
      <c r="C9" s="1470">
        <v>31706</v>
      </c>
      <c r="D9" s="1472"/>
      <c r="E9" s="1472"/>
      <c r="F9" s="1472"/>
      <c r="G9" s="1472"/>
      <c r="H9" s="1472"/>
      <c r="I9" s="1472"/>
      <c r="J9" s="1468">
        <f t="shared" si="0"/>
        <v>31706</v>
      </c>
      <c r="K9" s="1469">
        <f t="shared" si="1"/>
        <v>0</v>
      </c>
    </row>
    <row r="10" spans="1:14" ht="21.75" customHeight="1" x14ac:dyDescent="0.25">
      <c r="A10" s="1464" t="s">
        <v>1999</v>
      </c>
      <c r="B10" s="1470">
        <v>16800</v>
      </c>
      <c r="C10" s="1470">
        <v>16800</v>
      </c>
      <c r="D10" s="1472"/>
      <c r="E10" s="1472"/>
      <c r="F10" s="1472"/>
      <c r="G10" s="1472"/>
      <c r="H10" s="1472"/>
      <c r="I10" s="1472"/>
      <c r="J10" s="1468">
        <f t="shared" si="0"/>
        <v>16800</v>
      </c>
      <c r="K10" s="1469">
        <f t="shared" si="1"/>
        <v>0</v>
      </c>
    </row>
    <row r="11" spans="1:14" ht="21.75" customHeight="1" x14ac:dyDescent="0.25">
      <c r="A11" s="1464" t="s">
        <v>2000</v>
      </c>
      <c r="B11" s="1470">
        <v>43620</v>
      </c>
      <c r="C11" s="1470">
        <v>43620</v>
      </c>
      <c r="D11" s="1472"/>
      <c r="E11" s="1472"/>
      <c r="F11" s="1472"/>
      <c r="G11" s="1472"/>
      <c r="H11" s="1472"/>
      <c r="I11" s="1472"/>
      <c r="J11" s="1468">
        <f t="shared" si="0"/>
        <v>43620</v>
      </c>
      <c r="K11" s="1469">
        <f t="shared" si="1"/>
        <v>0</v>
      </c>
    </row>
    <row r="12" spans="1:14" ht="21.75" customHeight="1" x14ac:dyDescent="0.25">
      <c r="A12" s="1464" t="s">
        <v>2001</v>
      </c>
      <c r="B12" s="1470">
        <v>6090</v>
      </c>
      <c r="C12" s="1470">
        <v>6090</v>
      </c>
      <c r="D12" s="1472"/>
      <c r="E12" s="1472"/>
      <c r="F12" s="1472"/>
      <c r="G12" s="1472"/>
      <c r="H12" s="1472"/>
      <c r="I12" s="1472"/>
      <c r="J12" s="1468">
        <f t="shared" si="0"/>
        <v>6090</v>
      </c>
      <c r="K12" s="1469">
        <f t="shared" si="1"/>
        <v>0</v>
      </c>
    </row>
    <row r="13" spans="1:14" ht="21.75" customHeight="1" x14ac:dyDescent="0.25">
      <c r="A13" s="1464" t="s">
        <v>2002</v>
      </c>
      <c r="B13" s="1470">
        <v>150500</v>
      </c>
      <c r="C13" s="1471">
        <v>150500</v>
      </c>
      <c r="D13" s="1472"/>
      <c r="E13" s="1472"/>
      <c r="F13" s="1472"/>
      <c r="G13" s="1472"/>
      <c r="H13" s="1472"/>
      <c r="I13" s="1472"/>
      <c r="J13" s="1468">
        <f t="shared" si="0"/>
        <v>150500</v>
      </c>
      <c r="K13" s="1469">
        <f t="shared" si="1"/>
        <v>0</v>
      </c>
    </row>
    <row r="14" spans="1:14" ht="21.75" customHeight="1" x14ac:dyDescent="0.25">
      <c r="A14" s="1464" t="s">
        <v>2003</v>
      </c>
      <c r="B14" s="1470">
        <v>30841</v>
      </c>
      <c r="C14" s="1471">
        <v>30841</v>
      </c>
      <c r="D14" s="1472"/>
      <c r="E14" s="1472"/>
      <c r="F14" s="1472"/>
      <c r="G14" s="1472"/>
      <c r="H14" s="1472"/>
      <c r="I14" s="1472"/>
      <c r="J14" s="1468">
        <f t="shared" si="0"/>
        <v>30841</v>
      </c>
      <c r="K14" s="1469">
        <f t="shared" si="1"/>
        <v>0</v>
      </c>
    </row>
    <row r="15" spans="1:14" ht="21.75" customHeight="1" x14ac:dyDescent="0.25">
      <c r="A15" s="1464" t="s">
        <v>2004</v>
      </c>
      <c r="B15" s="1470">
        <v>20000</v>
      </c>
      <c r="C15" s="1471">
        <v>20000</v>
      </c>
      <c r="D15" s="1472"/>
      <c r="E15" s="1472"/>
      <c r="F15" s="1472"/>
      <c r="G15" s="1472"/>
      <c r="H15" s="1472"/>
      <c r="I15" s="1472"/>
      <c r="J15" s="1468">
        <v>0</v>
      </c>
      <c r="K15" s="1469">
        <f t="shared" si="1"/>
        <v>20000</v>
      </c>
    </row>
    <row r="16" spans="1:14" ht="21.75" customHeight="1" x14ac:dyDescent="0.25">
      <c r="A16" s="1464" t="s">
        <v>2005</v>
      </c>
      <c r="B16" s="1470">
        <v>138305</v>
      </c>
      <c r="C16" s="1471">
        <v>138305</v>
      </c>
      <c r="D16" s="1472"/>
      <c r="E16" s="1472"/>
      <c r="F16" s="1472"/>
      <c r="G16" s="1472"/>
      <c r="H16" s="1472"/>
      <c r="I16" s="1472"/>
      <c r="J16" s="1468">
        <v>36110</v>
      </c>
      <c r="K16" s="1469">
        <f t="shared" si="1"/>
        <v>102195</v>
      </c>
    </row>
    <row r="17" spans="1:11" ht="21.75" customHeight="1" x14ac:dyDescent="0.25">
      <c r="A17" s="1464" t="s">
        <v>2006</v>
      </c>
      <c r="B17" s="1470">
        <v>95000</v>
      </c>
      <c r="C17" s="1471">
        <v>95000</v>
      </c>
      <c r="D17" s="1472"/>
      <c r="E17" s="1472"/>
      <c r="F17" s="1472">
        <v>16195</v>
      </c>
      <c r="G17" s="1472"/>
      <c r="H17" s="1472"/>
      <c r="I17" s="1472"/>
      <c r="J17" s="1468"/>
      <c r="K17" s="1469">
        <f t="shared" si="1"/>
        <v>78805</v>
      </c>
    </row>
    <row r="18" spans="1:11" ht="21.75" customHeight="1" x14ac:dyDescent="0.25">
      <c r="A18" s="1464" t="s">
        <v>2007</v>
      </c>
      <c r="B18" s="1470">
        <v>25000</v>
      </c>
      <c r="C18" s="1471">
        <v>25000</v>
      </c>
      <c r="D18" s="1472"/>
      <c r="E18" s="1472"/>
      <c r="F18" s="1472">
        <v>25000</v>
      </c>
      <c r="G18" s="1472"/>
      <c r="H18" s="1472"/>
      <c r="I18" s="1472"/>
      <c r="J18" s="1468">
        <v>0</v>
      </c>
      <c r="K18" s="1469">
        <f t="shared" si="1"/>
        <v>0</v>
      </c>
    </row>
    <row r="19" spans="1:11" ht="21.75" customHeight="1" x14ac:dyDescent="0.25">
      <c r="A19" s="1464" t="s">
        <v>2008</v>
      </c>
      <c r="B19" s="1470">
        <v>91500</v>
      </c>
      <c r="C19" s="1471">
        <v>91500</v>
      </c>
      <c r="D19" s="1472"/>
      <c r="E19" s="1472"/>
      <c r="F19" s="1472">
        <v>91500</v>
      </c>
      <c r="G19" s="1472"/>
      <c r="H19" s="1472"/>
      <c r="I19" s="1472"/>
      <c r="J19" s="1468">
        <v>0</v>
      </c>
      <c r="K19" s="1469">
        <f t="shared" si="1"/>
        <v>0</v>
      </c>
    </row>
    <row r="20" spans="1:11" ht="21.75" customHeight="1" x14ac:dyDescent="0.25">
      <c r="A20" s="1464" t="s">
        <v>2009</v>
      </c>
      <c r="B20" s="1470">
        <v>24500</v>
      </c>
      <c r="C20" s="1471">
        <v>24500</v>
      </c>
      <c r="D20" s="1472"/>
      <c r="E20" s="1472"/>
      <c r="F20" s="1472">
        <v>24500</v>
      </c>
      <c r="G20" s="1472"/>
      <c r="H20" s="1472"/>
      <c r="I20" s="1472"/>
      <c r="J20" s="1468">
        <f t="shared" si="0"/>
        <v>0</v>
      </c>
      <c r="K20" s="1469">
        <f t="shared" si="1"/>
        <v>0</v>
      </c>
    </row>
    <row r="21" spans="1:11" ht="21.75" customHeight="1" thickBot="1" x14ac:dyDescent="0.3">
      <c r="A21" s="1464"/>
      <c r="B21" s="1470"/>
      <c r="C21" s="1471"/>
      <c r="D21" s="1472"/>
      <c r="E21" s="1472"/>
      <c r="F21" s="1472"/>
      <c r="G21" s="1472"/>
      <c r="H21" s="1472"/>
      <c r="I21" s="1472"/>
      <c r="J21" s="1468">
        <f t="shared" si="0"/>
        <v>0</v>
      </c>
      <c r="K21" s="1469">
        <f t="shared" si="1"/>
        <v>0</v>
      </c>
    </row>
    <row r="22" spans="1:11" ht="21.75" customHeight="1" thickBot="1" x14ac:dyDescent="0.35">
      <c r="A22" s="1443" t="s">
        <v>1299</v>
      </c>
      <c r="B22" s="1473">
        <f>SUM(B6:B21)</f>
        <v>1078425</v>
      </c>
      <c r="C22" s="1473">
        <f>SUM(C6:C21)</f>
        <v>1078425</v>
      </c>
      <c r="D22" s="1474">
        <f t="shared" ref="D22:H22" si="2">SUM(D6:D21)</f>
        <v>12490</v>
      </c>
      <c r="E22" s="1474">
        <f t="shared" si="2"/>
        <v>379768</v>
      </c>
      <c r="F22" s="1474">
        <f t="shared" si="2"/>
        <v>157195</v>
      </c>
      <c r="G22" s="1474">
        <f t="shared" si="2"/>
        <v>0</v>
      </c>
      <c r="H22" s="1474">
        <f t="shared" si="2"/>
        <v>0</v>
      </c>
      <c r="I22" s="1474">
        <f>SUM(I6:I21)</f>
        <v>0</v>
      </c>
      <c r="J22" s="1447">
        <f>SUM(J6:J21)</f>
        <v>327972</v>
      </c>
      <c r="K22" s="1447">
        <f>SUM(K6:K21)</f>
        <v>201000</v>
      </c>
    </row>
    <row r="23" spans="1:11" ht="21" customHeight="1" x14ac:dyDescent="0.25">
      <c r="B23" s="1475"/>
      <c r="C23" s="1475"/>
      <c r="D23" s="1476"/>
      <c r="E23" s="1476"/>
      <c r="F23" s="1476"/>
      <c r="G23" s="1476"/>
      <c r="H23" s="1476"/>
      <c r="I23" s="1476"/>
      <c r="J23" s="1476"/>
      <c r="K23" s="1476"/>
    </row>
    <row r="24" spans="1:11" ht="21" customHeight="1" x14ac:dyDescent="0.3">
      <c r="A24" s="1477"/>
      <c r="B24" s="1478" t="s">
        <v>2010</v>
      </c>
      <c r="C24" s="1478" t="s">
        <v>1980</v>
      </c>
      <c r="D24" s="1478" t="s">
        <v>280</v>
      </c>
      <c r="E24" s="1476"/>
      <c r="F24" s="1476"/>
      <c r="G24" s="1476"/>
      <c r="H24" s="1476"/>
      <c r="I24" s="1476" t="s">
        <v>1981</v>
      </c>
      <c r="J24" s="1476">
        <v>1625000</v>
      </c>
      <c r="K24" s="1476"/>
    </row>
    <row r="25" spans="1:11" ht="21" customHeight="1" x14ac:dyDescent="0.3">
      <c r="A25" s="1477"/>
      <c r="B25" s="1479"/>
      <c r="C25" s="1475"/>
      <c r="D25" s="1476"/>
      <c r="E25" s="1476"/>
      <c r="F25" s="1476"/>
      <c r="G25" s="1476"/>
      <c r="H25" s="1476"/>
      <c r="I25" s="1476"/>
      <c r="J25" s="1476">
        <f>SUM(J22+'[1]1.3. sz. mell'!M54)</f>
        <v>1625000</v>
      </c>
      <c r="K25" s="1476"/>
    </row>
    <row r="26" spans="1:11" ht="21" customHeight="1" x14ac:dyDescent="0.3">
      <c r="A26" s="1480" t="s">
        <v>1982</v>
      </c>
      <c r="B26" s="1475">
        <f>SUM(B22+'1.3. sz. mell'!C54+'1.5. sz. mell'!B15)</f>
        <v>3273191</v>
      </c>
      <c r="C26" s="1475">
        <f>SUM('2. sz. mell '!D121)</f>
        <v>3273191</v>
      </c>
      <c r="D26" s="1476">
        <f>SUM(C26-B26)</f>
        <v>0</v>
      </c>
      <c r="E26" s="1476"/>
      <c r="F26" s="1476"/>
      <c r="G26" s="1476"/>
      <c r="H26" s="1476"/>
      <c r="I26" s="1476"/>
      <c r="J26" s="1476">
        <f>SUM(J24-J25)</f>
        <v>0</v>
      </c>
      <c r="K26" s="1476"/>
    </row>
    <row r="27" spans="1:11" ht="21" customHeight="1" x14ac:dyDescent="0.3">
      <c r="A27" s="1480" t="s">
        <v>1696</v>
      </c>
      <c r="B27" s="1476">
        <f>SUM(D22+'1.3. sz. mell'!G54)</f>
        <v>315822</v>
      </c>
      <c r="C27" s="1475">
        <f>SUM('2. sz. mell '!D17)</f>
        <v>315822</v>
      </c>
      <c r="D27" s="1476">
        <f>SUM(C27-B27)</f>
        <v>0</v>
      </c>
      <c r="E27" s="1476"/>
      <c r="F27" s="1476"/>
      <c r="G27" s="1476"/>
      <c r="H27" s="1476"/>
      <c r="I27" s="1476"/>
      <c r="J27" s="1476"/>
      <c r="K27" s="1476"/>
    </row>
    <row r="28" spans="1:11" ht="21" customHeight="1" x14ac:dyDescent="0.3">
      <c r="A28" s="1480" t="s">
        <v>1983</v>
      </c>
      <c r="B28" s="1476">
        <f>SUM('1.3. sz. mell'!E54+'1.3. sz. mell'!F54+'1.5. sz. mell'!D15)</f>
        <v>526670</v>
      </c>
      <c r="C28" s="1475">
        <v>526670</v>
      </c>
      <c r="D28" s="1476">
        <f t="shared" ref="D28:D34" si="3">SUM(C28-B28)</f>
        <v>0</v>
      </c>
      <c r="E28" s="1476"/>
      <c r="F28" s="1476"/>
      <c r="G28" s="1476"/>
      <c r="H28" s="1476"/>
      <c r="I28" s="1476"/>
      <c r="J28" s="1476"/>
      <c r="K28" s="1476"/>
    </row>
    <row r="29" spans="1:11" ht="21" customHeight="1" x14ac:dyDescent="0.3">
      <c r="A29" s="1480" t="s">
        <v>1984</v>
      </c>
      <c r="B29" s="1475">
        <f>SUM(E22+'1.3. sz. mell'!H54)</f>
        <v>447504</v>
      </c>
      <c r="C29" s="1475">
        <f>SUM('2. sz. mell '!D28)</f>
        <v>447504</v>
      </c>
      <c r="D29" s="1476">
        <f t="shared" si="3"/>
        <v>0</v>
      </c>
      <c r="E29" s="1476"/>
      <c r="F29" s="1476"/>
      <c r="G29" s="1476"/>
      <c r="H29" s="1476"/>
      <c r="I29" s="1476"/>
      <c r="J29" s="1476"/>
      <c r="K29" s="1476"/>
    </row>
    <row r="30" spans="1:11" ht="21" customHeight="1" x14ac:dyDescent="0.3">
      <c r="A30" s="1480" t="s">
        <v>1985</v>
      </c>
      <c r="B30" s="1475">
        <f>SUM(F22+'[1]1.3. sz. mell'!I54)</f>
        <v>157195</v>
      </c>
      <c r="C30" s="1475">
        <f>SUM('2. sz. mell '!D36)</f>
        <v>157195</v>
      </c>
      <c r="D30" s="1476">
        <f t="shared" si="3"/>
        <v>0</v>
      </c>
      <c r="E30" s="1476"/>
      <c r="F30" s="1476"/>
      <c r="G30" s="1476"/>
      <c r="H30" s="1476"/>
      <c r="I30" s="1476"/>
      <c r="J30" s="1476"/>
      <c r="K30" s="1476"/>
    </row>
    <row r="31" spans="1:11" ht="21" customHeight="1" x14ac:dyDescent="0.3">
      <c r="A31" s="1480" t="s">
        <v>202</v>
      </c>
      <c r="B31" s="1475">
        <f>SUM(J22+'1.3. sz. mell'!M54+'1.5. sz. mell'!F15)</f>
        <v>1625000</v>
      </c>
      <c r="C31" s="1475">
        <f>SUM('2. sz. mell '!D8)</f>
        <v>1625000</v>
      </c>
      <c r="D31" s="1476">
        <f t="shared" si="3"/>
        <v>0</v>
      </c>
      <c r="E31" s="1476"/>
      <c r="F31" s="1476"/>
      <c r="G31" s="1476"/>
      <c r="H31" s="1476"/>
      <c r="I31" s="1476"/>
      <c r="J31" s="1476"/>
      <c r="K31" s="1476"/>
    </row>
    <row r="32" spans="1:11" ht="21" customHeight="1" x14ac:dyDescent="0.3">
      <c r="A32" s="1480" t="s">
        <v>1705</v>
      </c>
      <c r="B32" s="1475">
        <f>SUM(K22+'1.3. sz. mell'!N54)</f>
        <v>201000</v>
      </c>
      <c r="C32" s="1475">
        <f>SUM('2. sz. mell '!D45+'2. sz. mell '!D49+'2. sz. mell '!D51)</f>
        <v>201000</v>
      </c>
      <c r="D32" s="1476">
        <f t="shared" si="3"/>
        <v>0</v>
      </c>
      <c r="E32" s="1476"/>
      <c r="F32" s="1476"/>
      <c r="G32" s="1476"/>
      <c r="H32" s="1476"/>
      <c r="I32" s="1476"/>
      <c r="J32" s="1476"/>
      <c r="K32" s="1476"/>
    </row>
    <row r="33" spans="1:11" ht="21" customHeight="1" x14ac:dyDescent="0.3">
      <c r="A33" s="1480"/>
      <c r="B33" s="1475"/>
      <c r="C33" s="1475"/>
      <c r="D33" s="1476"/>
      <c r="E33" s="1476"/>
      <c r="F33" s="1476"/>
      <c r="G33" s="1476"/>
      <c r="H33" s="1476"/>
      <c r="I33" s="1476"/>
      <c r="J33" s="1476"/>
      <c r="K33" s="1476"/>
    </row>
    <row r="34" spans="1:11" ht="21" customHeight="1" x14ac:dyDescent="0.3">
      <c r="A34" s="1480" t="s">
        <v>1986</v>
      </c>
      <c r="B34" s="1475">
        <f>SUM(B27:B33)</f>
        <v>3273191</v>
      </c>
      <c r="C34" s="1475">
        <f>SUM(C27:C33)</f>
        <v>3273191</v>
      </c>
      <c r="D34" s="1476">
        <f t="shared" si="3"/>
        <v>0</v>
      </c>
      <c r="E34" s="1476"/>
      <c r="F34" s="1476"/>
      <c r="G34" s="1476"/>
      <c r="H34" s="1476"/>
      <c r="I34" s="1476"/>
      <c r="J34" s="1476"/>
      <c r="K34" s="1476"/>
    </row>
    <row r="35" spans="1:11" x14ac:dyDescent="0.25">
      <c r="A35" s="1540" t="s">
        <v>1797</v>
      </c>
      <c r="B35" s="1540"/>
      <c r="C35" s="1540"/>
      <c r="D35" s="1540"/>
      <c r="E35" s="1540"/>
      <c r="F35" s="1540"/>
      <c r="G35" s="1540"/>
      <c r="H35" s="1540"/>
      <c r="I35" s="1540"/>
      <c r="J35" s="1540"/>
      <c r="K35" s="1540"/>
    </row>
    <row r="36" spans="1:11" x14ac:dyDescent="0.25">
      <c r="A36" s="1540"/>
      <c r="B36" s="1540"/>
      <c r="C36" s="1540"/>
      <c r="D36" s="1540"/>
      <c r="E36" s="1540"/>
      <c r="F36" s="1540"/>
      <c r="G36" s="1540"/>
      <c r="H36" s="1540"/>
      <c r="I36" s="1540"/>
      <c r="J36" s="1540"/>
      <c r="K36" s="1540"/>
    </row>
    <row r="37" spans="1:11" x14ac:dyDescent="0.25">
      <c r="A37" s="1540"/>
      <c r="B37" s="1540"/>
      <c r="C37" s="1540"/>
      <c r="D37" s="1540"/>
      <c r="E37" s="1540"/>
      <c r="F37" s="1540"/>
      <c r="G37" s="1540"/>
      <c r="H37" s="1540"/>
      <c r="I37" s="1540"/>
      <c r="J37" s="1540"/>
      <c r="K37" s="1540"/>
    </row>
    <row r="38" spans="1:11" x14ac:dyDescent="0.25">
      <c r="A38" s="1540"/>
      <c r="B38" s="1540"/>
      <c r="C38" s="1540"/>
      <c r="D38" s="1540"/>
      <c r="E38" s="1540"/>
      <c r="F38" s="1540"/>
      <c r="G38" s="1540"/>
      <c r="H38" s="1540"/>
      <c r="I38" s="1540"/>
      <c r="J38" s="1540"/>
      <c r="K38" s="1540"/>
    </row>
    <row r="39" spans="1:11" x14ac:dyDescent="0.25">
      <c r="A39" s="1540"/>
      <c r="B39" s="1540"/>
      <c r="C39" s="1540"/>
      <c r="D39" s="1540"/>
      <c r="E39" s="1540"/>
      <c r="F39" s="1540"/>
      <c r="G39" s="1540"/>
      <c r="H39" s="1540"/>
      <c r="I39" s="1540"/>
      <c r="J39" s="1540"/>
      <c r="K39" s="1540"/>
    </row>
    <row r="40" spans="1:11" x14ac:dyDescent="0.25">
      <c r="A40" s="1540"/>
      <c r="B40" s="1540"/>
      <c r="C40" s="1540"/>
      <c r="D40" s="1540"/>
      <c r="E40" s="1540"/>
      <c r="F40" s="1540"/>
      <c r="G40" s="1540"/>
      <c r="H40" s="1540"/>
      <c r="I40" s="1540"/>
      <c r="J40" s="1540"/>
      <c r="K40" s="1540"/>
    </row>
    <row r="41" spans="1:11" x14ac:dyDescent="0.25">
      <c r="A41" s="1540"/>
      <c r="B41" s="1540"/>
      <c r="C41" s="1540"/>
      <c r="D41" s="1540"/>
      <c r="E41" s="1540"/>
      <c r="F41" s="1540"/>
      <c r="G41" s="1540"/>
      <c r="H41" s="1540"/>
      <c r="I41" s="1540"/>
      <c r="J41" s="1540"/>
      <c r="K41" s="1540"/>
    </row>
    <row r="42" spans="1:11" x14ac:dyDescent="0.25">
      <c r="A42" s="1540"/>
      <c r="B42" s="1540"/>
      <c r="C42" s="1540"/>
      <c r="D42" s="1540"/>
      <c r="E42" s="1540"/>
      <c r="F42" s="1540"/>
      <c r="G42" s="1540"/>
      <c r="H42" s="1540"/>
      <c r="I42" s="1540"/>
      <c r="J42" s="1540"/>
      <c r="K42" s="1540"/>
    </row>
    <row r="43" spans="1:11" x14ac:dyDescent="0.25">
      <c r="A43" s="1540"/>
      <c r="B43" s="1540"/>
      <c r="C43" s="1540"/>
      <c r="D43" s="1540"/>
      <c r="E43" s="1540"/>
      <c r="F43" s="1540"/>
      <c r="G43" s="1540"/>
      <c r="H43" s="1540"/>
      <c r="I43" s="1540"/>
      <c r="J43" s="1540"/>
      <c r="K43" s="1540"/>
    </row>
    <row r="44" spans="1:11" x14ac:dyDescent="0.25">
      <c r="A44" s="1540"/>
      <c r="B44" s="1540"/>
      <c r="C44" s="1540"/>
      <c r="D44" s="1540"/>
      <c r="E44" s="1540"/>
      <c r="F44" s="1540"/>
      <c r="G44" s="1540"/>
      <c r="H44" s="1540"/>
      <c r="I44" s="1540"/>
      <c r="J44" s="1540"/>
      <c r="K44" s="1540"/>
    </row>
    <row r="45" spans="1:11" x14ac:dyDescent="0.25">
      <c r="A45" s="1540"/>
      <c r="B45" s="1540"/>
      <c r="C45" s="1540"/>
      <c r="D45" s="1540"/>
      <c r="E45" s="1540"/>
      <c r="F45" s="1540"/>
      <c r="G45" s="1540"/>
      <c r="H45" s="1540"/>
      <c r="I45" s="1540"/>
      <c r="J45" s="1540"/>
      <c r="K45" s="1540"/>
    </row>
    <row r="46" spans="1:11" x14ac:dyDescent="0.25">
      <c r="A46" s="1540"/>
      <c r="B46" s="1540"/>
      <c r="C46" s="1540"/>
      <c r="D46" s="1540"/>
      <c r="E46" s="1540"/>
      <c r="F46" s="1540"/>
      <c r="G46" s="1540"/>
      <c r="H46" s="1540"/>
      <c r="I46" s="1540"/>
      <c r="J46" s="1540"/>
      <c r="K46" s="1540"/>
    </row>
    <row r="47" spans="1:11" x14ac:dyDescent="0.25">
      <c r="A47" s="1540"/>
      <c r="B47" s="1540"/>
      <c r="C47" s="1540"/>
      <c r="D47" s="1540"/>
      <c r="E47" s="1540"/>
      <c r="F47" s="1540"/>
      <c r="G47" s="1540"/>
      <c r="H47" s="1540"/>
      <c r="I47" s="1540"/>
      <c r="J47" s="1540"/>
      <c r="K47" s="1540"/>
    </row>
  </sheetData>
  <mergeCells count="10">
    <mergeCell ref="A35:K47"/>
    <mergeCell ref="A1:K1"/>
    <mergeCell ref="A2:K2"/>
    <mergeCell ref="A4:A5"/>
    <mergeCell ref="B4:B5"/>
    <mergeCell ref="C4:C5"/>
    <mergeCell ref="E4:F4"/>
    <mergeCell ref="G4:H4"/>
    <mergeCell ref="I4:I5"/>
    <mergeCell ref="J4:K4"/>
  </mergeCells>
  <printOptions horizontalCentered="1"/>
  <pageMargins left="0.39370078740157483" right="0.19685039370078741" top="0.74803149606299213" bottom="0.74803149606299213" header="0.31496062992125984" footer="0.31496062992125984"/>
  <pageSetup paperSize="8" scale="75" orientation="landscape" r:id="rId1"/>
  <headerFooter>
    <oddHeader>&amp;R&amp;12 1.4. számú melléklet</oddHeader>
    <oddFooter xml:space="preserve">&amp;C&amp;12- &amp;P -&amp;10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topLeftCell="A7" zoomScale="110" zoomScaleNormal="100" zoomScaleSheetLayoutView="110" workbookViewId="0">
      <selection activeCell="D15" sqref="D15"/>
    </sheetView>
  </sheetViews>
  <sheetFormatPr defaultRowHeight="15" x14ac:dyDescent="0.25"/>
  <cols>
    <col min="1" max="1" width="27.83203125" style="1457" customWidth="1"/>
    <col min="2" max="2" width="19.5" style="1457" customWidth="1"/>
    <col min="3" max="3" width="19.33203125" style="1457" customWidth="1"/>
    <col min="4" max="4" width="33.33203125" style="1457" customWidth="1"/>
    <col min="5" max="5" width="23.5" style="1457" customWidth="1"/>
    <col min="6" max="6" width="16.83203125" style="1457" customWidth="1"/>
    <col min="7" max="7" width="19.1640625" style="1457" customWidth="1"/>
    <col min="8" max="8" width="13.5" style="1457" customWidth="1"/>
    <col min="9" max="9" width="15.6640625" style="1457" customWidth="1"/>
    <col min="10" max="10" width="20.1640625" style="1457" customWidth="1"/>
    <col min="11" max="16384" width="9.33203125" style="1457"/>
  </cols>
  <sheetData>
    <row r="1" spans="1:10" ht="20.25" x14ac:dyDescent="0.3">
      <c r="A1" s="1550" t="s">
        <v>1801</v>
      </c>
      <c r="B1" s="1550"/>
      <c r="C1" s="1550"/>
      <c r="D1" s="1550"/>
      <c r="E1" s="1550"/>
      <c r="F1" s="1550"/>
      <c r="G1" s="1550"/>
      <c r="H1" s="1481"/>
      <c r="I1" s="1481"/>
      <c r="J1" s="1481"/>
    </row>
    <row r="2" spans="1:10" ht="20.25" x14ac:dyDescent="0.3">
      <c r="A2" s="1550" t="s">
        <v>1619</v>
      </c>
      <c r="B2" s="1550"/>
      <c r="C2" s="1550"/>
      <c r="D2" s="1550"/>
      <c r="E2" s="1550"/>
      <c r="F2" s="1550"/>
      <c r="G2" s="1550"/>
      <c r="H2" s="1481"/>
      <c r="I2" s="1481"/>
      <c r="J2" s="1481"/>
    </row>
    <row r="3" spans="1:10" ht="15.75" thickBot="1" x14ac:dyDescent="0.3">
      <c r="E3" s="1482"/>
      <c r="G3" s="1482" t="s">
        <v>196</v>
      </c>
    </row>
    <row r="4" spans="1:10" ht="95.25" customHeight="1" x14ac:dyDescent="0.25">
      <c r="A4" s="1562" t="s">
        <v>1798</v>
      </c>
      <c r="B4" s="1564" t="s">
        <v>1745</v>
      </c>
      <c r="C4" s="1566" t="s">
        <v>1746</v>
      </c>
      <c r="D4" s="1566" t="s">
        <v>1679</v>
      </c>
      <c r="E4" s="1566" t="s">
        <v>1680</v>
      </c>
      <c r="F4" s="1568" t="s">
        <v>1976</v>
      </c>
      <c r="G4" s="1569"/>
      <c r="H4" s="1482"/>
      <c r="I4" s="1482"/>
      <c r="J4" s="1482"/>
    </row>
    <row r="5" spans="1:10" ht="31.5" customHeight="1" thickBot="1" x14ac:dyDescent="0.3">
      <c r="A5" s="1563"/>
      <c r="B5" s="1565"/>
      <c r="C5" s="1567"/>
      <c r="D5" s="1567"/>
      <c r="E5" s="1567"/>
      <c r="F5" s="1483" t="s">
        <v>202</v>
      </c>
      <c r="G5" s="1484" t="s">
        <v>1752</v>
      </c>
    </row>
    <row r="6" spans="1:10" ht="20.25" customHeight="1" x14ac:dyDescent="0.25">
      <c r="A6" s="1485" t="s">
        <v>1987</v>
      </c>
      <c r="B6" s="1486">
        <v>9185</v>
      </c>
      <c r="C6" s="1486">
        <v>9185</v>
      </c>
      <c r="D6" s="1486">
        <v>464</v>
      </c>
      <c r="E6" s="1486"/>
      <c r="F6" s="1487">
        <f>SUM(C6-D6-E6)</f>
        <v>8721</v>
      </c>
      <c r="G6" s="1488"/>
    </row>
    <row r="7" spans="1:10" ht="20.25" customHeight="1" x14ac:dyDescent="0.25">
      <c r="A7" s="1489" t="s">
        <v>1988</v>
      </c>
      <c r="B7" s="1486">
        <v>9185</v>
      </c>
      <c r="C7" s="1486">
        <v>9185</v>
      </c>
      <c r="D7" s="1486">
        <v>464</v>
      </c>
      <c r="E7" s="1486"/>
      <c r="F7" s="1487">
        <f t="shared" ref="F7:F13" si="0">SUM(C7-D7-E7)</f>
        <v>8721</v>
      </c>
      <c r="G7" s="1488"/>
    </row>
    <row r="8" spans="1:10" ht="20.25" customHeight="1" x14ac:dyDescent="0.25">
      <c r="A8" s="1489" t="s">
        <v>1989</v>
      </c>
      <c r="B8" s="1486">
        <v>8523</v>
      </c>
      <c r="C8" s="1486">
        <v>8523</v>
      </c>
      <c r="D8" s="1486">
        <v>464</v>
      </c>
      <c r="E8" s="1486"/>
      <c r="F8" s="1487">
        <f t="shared" si="0"/>
        <v>8059</v>
      </c>
      <c r="G8" s="1488"/>
    </row>
    <row r="9" spans="1:10" ht="20.25" customHeight="1" x14ac:dyDescent="0.25">
      <c r="A9" s="1489" t="s">
        <v>1990</v>
      </c>
      <c r="B9" s="1486">
        <v>10602</v>
      </c>
      <c r="C9" s="1486">
        <v>10602</v>
      </c>
      <c r="D9" s="1486">
        <v>464</v>
      </c>
      <c r="E9" s="1486"/>
      <c r="F9" s="1487">
        <f t="shared" si="0"/>
        <v>10138</v>
      </c>
      <c r="G9" s="1488"/>
    </row>
    <row r="10" spans="1:10" ht="20.25" customHeight="1" x14ac:dyDescent="0.25">
      <c r="A10" s="1489" t="s">
        <v>1991</v>
      </c>
      <c r="B10" s="1486">
        <v>11198</v>
      </c>
      <c r="C10" s="1486">
        <v>11198</v>
      </c>
      <c r="D10" s="1486">
        <v>464</v>
      </c>
      <c r="E10" s="1486"/>
      <c r="F10" s="1487">
        <f t="shared" si="0"/>
        <v>10734</v>
      </c>
      <c r="G10" s="1488"/>
    </row>
    <row r="11" spans="1:10" ht="20.25" customHeight="1" x14ac:dyDescent="0.25">
      <c r="A11" s="1489" t="s">
        <v>1992</v>
      </c>
      <c r="B11" s="1486">
        <v>47995</v>
      </c>
      <c r="C11" s="1486">
        <v>47995</v>
      </c>
      <c r="D11" s="1486">
        <v>20996</v>
      </c>
      <c r="E11" s="1486"/>
      <c r="F11" s="1487">
        <f t="shared" si="0"/>
        <v>26999</v>
      </c>
      <c r="G11" s="1488"/>
    </row>
    <row r="12" spans="1:10" ht="20.25" customHeight="1" x14ac:dyDescent="0.25">
      <c r="A12" s="1489" t="s">
        <v>1993</v>
      </c>
      <c r="B12" s="1486">
        <v>5583</v>
      </c>
      <c r="C12" s="1486">
        <v>5583</v>
      </c>
      <c r="D12" s="1486">
        <v>232</v>
      </c>
      <c r="E12" s="1486"/>
      <c r="F12" s="1487">
        <f t="shared" si="0"/>
        <v>5351</v>
      </c>
      <c r="G12" s="1488"/>
    </row>
    <row r="13" spans="1:10" ht="20.25" customHeight="1" x14ac:dyDescent="0.25">
      <c r="A13" s="1489" t="s">
        <v>1994</v>
      </c>
      <c r="B13" s="1486">
        <v>45845</v>
      </c>
      <c r="C13" s="1486">
        <v>45845</v>
      </c>
      <c r="D13" s="1486">
        <v>2320</v>
      </c>
      <c r="E13" s="1486"/>
      <c r="F13" s="1487">
        <f t="shared" si="0"/>
        <v>43525</v>
      </c>
      <c r="G13" s="1488"/>
    </row>
    <row r="14" spans="1:10" ht="20.25" customHeight="1" thickBot="1" x14ac:dyDescent="0.3">
      <c r="A14" s="1490"/>
      <c r="B14" s="1491"/>
      <c r="C14" s="1491"/>
      <c r="D14" s="1491"/>
      <c r="E14" s="1491"/>
      <c r="F14" s="1492"/>
      <c r="G14" s="1493"/>
    </row>
    <row r="15" spans="1:10" s="1497" customFormat="1" ht="20.25" customHeight="1" thickTop="1" thickBot="1" x14ac:dyDescent="0.35">
      <c r="A15" s="1494" t="s">
        <v>1299</v>
      </c>
      <c r="B15" s="1495">
        <f>SUM(B6:B14)</f>
        <v>148116</v>
      </c>
      <c r="C15" s="1495">
        <f t="shared" ref="C15:G15" si="1">SUM(C6:C14)</f>
        <v>148116</v>
      </c>
      <c r="D15" s="1495">
        <f t="shared" si="1"/>
        <v>25868</v>
      </c>
      <c r="E15" s="1495">
        <f t="shared" si="1"/>
        <v>0</v>
      </c>
      <c r="F15" s="1495">
        <f t="shared" si="1"/>
        <v>122248</v>
      </c>
      <c r="G15" s="1496">
        <f t="shared" si="1"/>
        <v>0</v>
      </c>
    </row>
    <row r="16" spans="1:10" ht="20.25" customHeight="1" thickTop="1" x14ac:dyDescent="0.25">
      <c r="A16" s="1498"/>
      <c r="B16" s="1498"/>
      <c r="C16" s="1498"/>
      <c r="D16" s="1498"/>
      <c r="E16" s="1498"/>
    </row>
    <row r="17" spans="1:5" ht="15" customHeight="1" x14ac:dyDescent="0.25">
      <c r="A17" s="1561" t="s">
        <v>1799</v>
      </c>
      <c r="B17" s="1561"/>
      <c r="C17" s="1561"/>
      <c r="D17" s="1561"/>
      <c r="E17" s="1561"/>
    </row>
    <row r="18" spans="1:5" ht="15" customHeight="1" x14ac:dyDescent="0.25">
      <c r="A18" s="1561"/>
      <c r="B18" s="1561"/>
      <c r="C18" s="1561"/>
      <c r="D18" s="1561"/>
      <c r="E18" s="1561"/>
    </row>
    <row r="19" spans="1:5" ht="15" customHeight="1" x14ac:dyDescent="0.25">
      <c r="A19" s="1561"/>
      <c r="B19" s="1561"/>
      <c r="C19" s="1561"/>
      <c r="D19" s="1561"/>
      <c r="E19" s="1561"/>
    </row>
    <row r="20" spans="1:5" ht="15" customHeight="1" x14ac:dyDescent="0.25">
      <c r="A20" s="1561"/>
      <c r="B20" s="1561"/>
      <c r="C20" s="1561"/>
      <c r="D20" s="1561"/>
      <c r="E20" s="1561"/>
    </row>
    <row r="21" spans="1:5" ht="15" customHeight="1" x14ac:dyDescent="0.25">
      <c r="A21" s="1561"/>
      <c r="B21" s="1561"/>
      <c r="C21" s="1561"/>
      <c r="D21" s="1561"/>
      <c r="E21" s="1561"/>
    </row>
    <row r="22" spans="1:5" ht="15" customHeight="1" x14ac:dyDescent="0.25">
      <c r="A22" s="1561"/>
      <c r="B22" s="1561"/>
      <c r="C22" s="1561"/>
      <c r="D22" s="1561"/>
      <c r="E22" s="1561"/>
    </row>
    <row r="23" spans="1:5" ht="15" customHeight="1" x14ac:dyDescent="0.25">
      <c r="A23" s="1561"/>
      <c r="B23" s="1561"/>
      <c r="C23" s="1561"/>
      <c r="D23" s="1561"/>
      <c r="E23" s="1561"/>
    </row>
    <row r="24" spans="1:5" ht="15" customHeight="1" x14ac:dyDescent="0.25">
      <c r="A24" s="1561"/>
      <c r="B24" s="1561"/>
      <c r="C24" s="1561"/>
      <c r="D24" s="1561"/>
      <c r="E24" s="1561"/>
    </row>
    <row r="25" spans="1:5" ht="15" customHeight="1" x14ac:dyDescent="0.25">
      <c r="A25" s="1561"/>
      <c r="B25" s="1561"/>
      <c r="C25" s="1561"/>
      <c r="D25" s="1561"/>
      <c r="E25" s="1561"/>
    </row>
    <row r="26" spans="1:5" ht="15" customHeight="1" x14ac:dyDescent="0.25">
      <c r="A26" s="1561"/>
      <c r="B26" s="1561"/>
      <c r="C26" s="1561"/>
      <c r="D26" s="1561"/>
      <c r="E26" s="1561"/>
    </row>
    <row r="27" spans="1:5" ht="15" customHeight="1" x14ac:dyDescent="0.25">
      <c r="A27" s="1561"/>
      <c r="B27" s="1561"/>
      <c r="C27" s="1561"/>
      <c r="D27" s="1561"/>
      <c r="E27" s="1561"/>
    </row>
    <row r="28" spans="1:5" ht="15" customHeight="1" x14ac:dyDescent="0.25">
      <c r="A28" s="1561"/>
      <c r="B28" s="1561"/>
      <c r="C28" s="1561"/>
      <c r="D28" s="1561"/>
      <c r="E28" s="1561"/>
    </row>
    <row r="29" spans="1:5" ht="15" customHeight="1" x14ac:dyDescent="0.25">
      <c r="A29" s="1561"/>
      <c r="B29" s="1561"/>
      <c r="C29" s="1561"/>
      <c r="D29" s="1561"/>
      <c r="E29" s="1561"/>
    </row>
    <row r="30" spans="1:5" ht="15" customHeight="1" x14ac:dyDescent="0.25">
      <c r="A30" s="1561"/>
      <c r="B30" s="1561"/>
      <c r="C30" s="1561"/>
      <c r="D30" s="1561"/>
      <c r="E30" s="1561"/>
    </row>
    <row r="31" spans="1:5" x14ac:dyDescent="0.25">
      <c r="A31" s="1561"/>
      <c r="B31" s="1561"/>
      <c r="C31" s="1561"/>
      <c r="D31" s="1561"/>
      <c r="E31" s="1561"/>
    </row>
    <row r="32" spans="1:5" x14ac:dyDescent="0.25">
      <c r="A32" s="1561"/>
      <c r="B32" s="1561"/>
      <c r="C32" s="1561"/>
      <c r="D32" s="1561"/>
      <c r="E32" s="1561"/>
    </row>
    <row r="33" spans="1:5" x14ac:dyDescent="0.25">
      <c r="A33" s="1561"/>
      <c r="B33" s="1561"/>
      <c r="C33" s="1561"/>
      <c r="D33" s="1561"/>
      <c r="E33" s="1561"/>
    </row>
    <row r="34" spans="1:5" x14ac:dyDescent="0.25">
      <c r="A34" s="1561"/>
      <c r="B34" s="1561"/>
      <c r="C34" s="1561"/>
      <c r="D34" s="1561"/>
      <c r="E34" s="1561"/>
    </row>
  </sheetData>
  <mergeCells count="9">
    <mergeCell ref="A17:E34"/>
    <mergeCell ref="A1:G1"/>
    <mergeCell ref="A2:G2"/>
    <mergeCell ref="A4:A5"/>
    <mergeCell ref="B4:B5"/>
    <mergeCell ref="C4:C5"/>
    <mergeCell ref="D4:D5"/>
    <mergeCell ref="E4:E5"/>
    <mergeCell ref="F4:G4"/>
  </mergeCell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  <headerFooter>
    <oddHeader>&amp;R&amp;12 1.5. számú melléklet</oddHeader>
    <oddFooter>&amp;C&amp;12-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view="pageBreakPreview" topLeftCell="A75" zoomScale="120" zoomScaleNormal="100" zoomScaleSheetLayoutView="120" workbookViewId="0">
      <selection activeCell="D93" sqref="D93"/>
    </sheetView>
  </sheetViews>
  <sheetFormatPr defaultRowHeight="12.75" x14ac:dyDescent="0.2"/>
  <cols>
    <col min="1" max="1" width="5.5" style="161" customWidth="1"/>
    <col min="2" max="2" width="12" style="162" customWidth="1"/>
    <col min="3" max="3" width="69.6640625" style="162" customWidth="1"/>
    <col min="4" max="4" width="13.6640625" style="162" customWidth="1"/>
    <col min="5" max="5" width="13.6640625" style="162" hidden="1" customWidth="1"/>
    <col min="6" max="6" width="12" style="162" hidden="1" customWidth="1"/>
    <col min="7" max="7" width="7.83203125" style="162" hidden="1" customWidth="1"/>
    <col min="8" max="8" width="0" style="162" hidden="1" customWidth="1"/>
    <col min="9" max="9" width="14.6640625" style="162" hidden="1" customWidth="1"/>
    <col min="10" max="10" width="16.83203125" style="162" hidden="1" customWidth="1"/>
    <col min="11" max="11" width="11.6640625" style="162" hidden="1" customWidth="1"/>
    <col min="12" max="13" width="0" style="162" hidden="1" customWidth="1"/>
    <col min="14" max="16" width="9.33203125" style="162"/>
    <col min="17" max="17" width="11.6640625" style="162" bestFit="1" customWidth="1"/>
    <col min="18" max="16384" width="9.33203125" style="162"/>
  </cols>
  <sheetData>
    <row r="1" spans="1:7" s="165" customFormat="1" ht="21.75" customHeight="1" x14ac:dyDescent="0.2">
      <c r="A1" s="1573" t="s">
        <v>262</v>
      </c>
      <c r="B1" s="1573"/>
      <c r="C1" s="163" t="s">
        <v>263</v>
      </c>
      <c r="D1" s="1570"/>
      <c r="E1" s="1576"/>
      <c r="F1" s="1577"/>
      <c r="G1" s="1570"/>
    </row>
    <row r="2" spans="1:7" s="165" customFormat="1" ht="30" customHeight="1" thickBot="1" x14ac:dyDescent="0.25">
      <c r="A2" s="1571" t="s">
        <v>264</v>
      </c>
      <c r="B2" s="1571"/>
      <c r="C2" s="166" t="s">
        <v>265</v>
      </c>
      <c r="D2" s="1570"/>
      <c r="E2" s="1576"/>
      <c r="F2" s="1577"/>
      <c r="G2" s="1570"/>
    </row>
    <row r="3" spans="1:7" s="169" customFormat="1" ht="15.95" customHeight="1" thickBot="1" x14ac:dyDescent="0.3">
      <c r="A3" s="167"/>
      <c r="B3" s="167"/>
      <c r="C3" s="991"/>
      <c r="D3" s="1574"/>
      <c r="E3" s="1574"/>
      <c r="F3" s="1575"/>
      <c r="G3" s="992" t="s">
        <v>196</v>
      </c>
    </row>
    <row r="4" spans="1:7" ht="45.75" customHeight="1" thickBot="1" x14ac:dyDescent="0.25">
      <c r="A4" s="1572" t="s">
        <v>266</v>
      </c>
      <c r="B4" s="1572"/>
      <c r="C4" s="171" t="s">
        <v>267</v>
      </c>
      <c r="D4" s="172" t="s">
        <v>268</v>
      </c>
      <c r="E4" s="171" t="s">
        <v>269</v>
      </c>
      <c r="F4" s="952" t="s">
        <v>270</v>
      </c>
      <c r="G4" s="172" t="s">
        <v>3</v>
      </c>
    </row>
    <row r="5" spans="1:7" s="175" customFormat="1" ht="12.95" customHeight="1" x14ac:dyDescent="0.2">
      <c r="A5" s="170">
        <v>1</v>
      </c>
      <c r="B5" s="173">
        <v>2</v>
      </c>
      <c r="C5" s="173">
        <v>3</v>
      </c>
      <c r="D5" s="174">
        <v>4</v>
      </c>
      <c r="E5" s="173">
        <v>5</v>
      </c>
      <c r="F5" s="953">
        <v>6</v>
      </c>
      <c r="G5" s="174">
        <v>7</v>
      </c>
    </row>
    <row r="6" spans="1:7" s="175" customFormat="1" ht="18" customHeight="1" x14ac:dyDescent="0.2">
      <c r="A6" s="176"/>
      <c r="B6" s="177"/>
      <c r="C6" s="178" t="s">
        <v>198</v>
      </c>
      <c r="D6" s="179"/>
      <c r="E6" s="961"/>
      <c r="F6" s="179"/>
      <c r="G6" s="179"/>
    </row>
    <row r="7" spans="1:7" s="175" customFormat="1" ht="15" customHeight="1" x14ac:dyDescent="0.2">
      <c r="A7" s="180" t="s">
        <v>5</v>
      </c>
      <c r="B7" s="181"/>
      <c r="C7" s="182" t="s">
        <v>271</v>
      </c>
      <c r="D7" s="112">
        <f>SUM(D8+D17)</f>
        <v>1940822</v>
      </c>
      <c r="E7" s="110">
        <f>SUM(E8+E17)</f>
        <v>0</v>
      </c>
      <c r="F7" s="210" t="e">
        <f>SUM(F8+F17)</f>
        <v>#REF!</v>
      </c>
      <c r="G7" s="112" t="e">
        <f>F7/E7*100</f>
        <v>#REF!</v>
      </c>
    </row>
    <row r="8" spans="1:7" s="183" customFormat="1" ht="15" x14ac:dyDescent="0.2">
      <c r="A8" s="180" t="s">
        <v>6</v>
      </c>
      <c r="B8" s="181"/>
      <c r="C8" s="182" t="s">
        <v>1422</v>
      </c>
      <c r="D8" s="112">
        <f>SUM(D9:D14)</f>
        <v>1625000</v>
      </c>
      <c r="E8" s="110">
        <f>SUM(E9:E16)</f>
        <v>0</v>
      </c>
      <c r="F8" s="210">
        <f>SUM(F9:F16)</f>
        <v>0</v>
      </c>
      <c r="G8" s="112" t="e">
        <f>F8/E8*100</f>
        <v>#DIV/0!</v>
      </c>
    </row>
    <row r="9" spans="1:7" s="187" customFormat="1" ht="15" customHeight="1" x14ac:dyDescent="0.2">
      <c r="A9" s="184"/>
      <c r="B9" s="185" t="s">
        <v>7</v>
      </c>
      <c r="C9" s="186" t="s">
        <v>8</v>
      </c>
      <c r="D9" s="103">
        <f>SUM('3. sz. mell'!D9)</f>
        <v>1515000</v>
      </c>
      <c r="E9" s="101">
        <f>SUM('3. sz. mell'!E9)</f>
        <v>0</v>
      </c>
      <c r="F9" s="954">
        <f>SUM('3. sz. mell'!F9)</f>
        <v>0</v>
      </c>
      <c r="G9" s="103" t="e">
        <f>F9/E9*100</f>
        <v>#DIV/0!</v>
      </c>
    </row>
    <row r="10" spans="1:7" s="187" customFormat="1" ht="15" customHeight="1" x14ac:dyDescent="0.2">
      <c r="A10" s="184"/>
      <c r="B10" s="185" t="s">
        <v>9</v>
      </c>
      <c r="C10" s="186" t="s">
        <v>10</v>
      </c>
      <c r="D10" s="103">
        <f>SUM('3. sz. mell'!D10)</f>
        <v>0</v>
      </c>
      <c r="E10" s="101">
        <f>SUM('3. sz. mell'!E10)</f>
        <v>0</v>
      </c>
      <c r="F10" s="954">
        <f>SUM('3. sz. mell'!F10)</f>
        <v>0</v>
      </c>
      <c r="G10" s="103"/>
    </row>
    <row r="11" spans="1:7" s="187" customFormat="1" ht="15" customHeight="1" x14ac:dyDescent="0.2">
      <c r="A11" s="184"/>
      <c r="B11" s="185" t="s">
        <v>11</v>
      </c>
      <c r="C11" s="186" t="s">
        <v>12</v>
      </c>
      <c r="D11" s="103">
        <f>SUM('3. sz. mell'!D11)</f>
        <v>100000</v>
      </c>
      <c r="E11" s="101">
        <f>SUM('3. sz. mell'!E11)</f>
        <v>0</v>
      </c>
      <c r="F11" s="954">
        <f>SUM('3. sz. mell'!F11)</f>
        <v>0</v>
      </c>
      <c r="G11" s="103" t="e">
        <f>F11/E11*100</f>
        <v>#DIV/0!</v>
      </c>
    </row>
    <row r="12" spans="1:7" s="187" customFormat="1" ht="15" customHeight="1" x14ac:dyDescent="0.2">
      <c r="A12" s="184"/>
      <c r="B12" s="185" t="s">
        <v>13</v>
      </c>
      <c r="C12" s="186" t="s">
        <v>14</v>
      </c>
      <c r="D12" s="103">
        <f>SUM('3. sz. mell'!D12)</f>
        <v>10000</v>
      </c>
      <c r="E12" s="101">
        <f>SUM('3. sz. mell'!E12)+'3. sz. mell'!E15</f>
        <v>0</v>
      </c>
      <c r="F12" s="101">
        <f>SUM('3. sz. mell'!F12)+'3. sz. mell'!F15</f>
        <v>0</v>
      </c>
      <c r="G12" s="103" t="e">
        <f>F12/E12*100</f>
        <v>#DIV/0!</v>
      </c>
    </row>
    <row r="13" spans="1:7" s="187" customFormat="1" ht="15" customHeight="1" x14ac:dyDescent="0.2">
      <c r="A13" s="184"/>
      <c r="B13" s="185" t="s">
        <v>15</v>
      </c>
      <c r="C13" s="186" t="s">
        <v>272</v>
      </c>
      <c r="D13" s="103">
        <f>SUM('3. sz. mell'!D13)</f>
        <v>0</v>
      </c>
      <c r="E13" s="101">
        <f>SUM('3. sz. mell'!E13)</f>
        <v>0</v>
      </c>
      <c r="F13" s="954">
        <f>SUM('3. sz. mell'!F13)</f>
        <v>0</v>
      </c>
      <c r="G13" s="103"/>
    </row>
    <row r="14" spans="1:7" s="187" customFormat="1" ht="15" customHeight="1" x14ac:dyDescent="0.2">
      <c r="A14" s="184"/>
      <c r="B14" s="185" t="s">
        <v>17</v>
      </c>
      <c r="C14" s="186" t="s">
        <v>18</v>
      </c>
      <c r="D14" s="103">
        <f>SUM('3. sz. mell'!D14)</f>
        <v>0</v>
      </c>
      <c r="E14" s="101">
        <f>SUM('3. sz. mell'!E14)</f>
        <v>0</v>
      </c>
      <c r="F14" s="954">
        <f>SUM('3. sz. mell'!F14)</f>
        <v>0</v>
      </c>
      <c r="G14" s="103"/>
    </row>
    <row r="15" spans="1:7" s="187" customFormat="1" ht="15" customHeight="1" thickBot="1" x14ac:dyDescent="0.25">
      <c r="A15" s="188"/>
      <c r="B15" s="189" t="s">
        <v>19</v>
      </c>
      <c r="C15" s="190" t="s">
        <v>273</v>
      </c>
      <c r="D15" s="191"/>
      <c r="E15" s="962">
        <f>'3. sz. mell'!E15</f>
        <v>0</v>
      </c>
      <c r="F15" s="955"/>
      <c r="G15" s="103"/>
    </row>
    <row r="16" spans="1:7" s="187" customFormat="1" ht="15" hidden="1" customHeight="1" thickBot="1" x14ac:dyDescent="0.25">
      <c r="A16" s="184"/>
      <c r="B16" s="185"/>
      <c r="C16" s="186"/>
      <c r="D16" s="103">
        <f>SUM('3. sz. mell'!D15+'4. sz. mell.'!D13)</f>
        <v>0</v>
      </c>
      <c r="E16" s="101">
        <f>SUM('3. sz. mell'!E25+'4. sz. mell.'!E23)</f>
        <v>0</v>
      </c>
      <c r="F16" s="954">
        <f>SUM('3. sz. mell'!F25+'4. sz. mell.'!F23)</f>
        <v>0</v>
      </c>
      <c r="G16" s="103" t="e">
        <f>F16/E16*100</f>
        <v>#DIV/0!</v>
      </c>
    </row>
    <row r="17" spans="1:7" s="183" customFormat="1" ht="15" customHeight="1" thickBot="1" x14ac:dyDescent="0.25">
      <c r="A17" s="180" t="s">
        <v>20</v>
      </c>
      <c r="B17" s="181"/>
      <c r="C17" s="182" t="s">
        <v>21</v>
      </c>
      <c r="D17" s="112">
        <f>SUM(D18:D25)</f>
        <v>315822</v>
      </c>
      <c r="E17" s="110">
        <f>SUM(E18:E25)</f>
        <v>0</v>
      </c>
      <c r="F17" s="210" t="e">
        <f>SUM(F18:F25)</f>
        <v>#REF!</v>
      </c>
      <c r="G17" s="112" t="e">
        <f>F17/E17*100</f>
        <v>#REF!</v>
      </c>
    </row>
    <row r="18" spans="1:7" s="183" customFormat="1" ht="15" customHeight="1" x14ac:dyDescent="0.2">
      <c r="A18" s="192"/>
      <c r="B18" s="185" t="s">
        <v>22</v>
      </c>
      <c r="C18" s="19" t="s">
        <v>23</v>
      </c>
      <c r="D18" s="193">
        <f>SUM('3. sz. mell'!D17+'4. sz. mell.'!D9+'5. sz. mell. '!D9)</f>
        <v>0</v>
      </c>
      <c r="E18" s="963">
        <f>SUM('3. sz. mell'!E17+'4. sz. mell.'!E9+'5. sz. mell. '!E9)</f>
        <v>0</v>
      </c>
      <c r="F18" s="267">
        <f>SUM('3. sz. mell'!F17+'4. sz. mell.'!F9+'5. sz. mell. '!F9)</f>
        <v>0</v>
      </c>
      <c r="G18" s="193"/>
    </row>
    <row r="19" spans="1:7" s="183" customFormat="1" ht="15" customHeight="1" x14ac:dyDescent="0.2">
      <c r="A19" s="184"/>
      <c r="B19" s="185" t="s">
        <v>24</v>
      </c>
      <c r="C19" s="15" t="s">
        <v>25</v>
      </c>
      <c r="D19" s="103">
        <f>SUM('3. sz. mell'!D18+'4. sz. mell.'!D10+'5. sz. mell. '!D10)</f>
        <v>200360</v>
      </c>
      <c r="E19" s="101">
        <f>SUM('3. sz. mell'!E18+'4. sz. mell.'!E10+'5. sz. mell. '!E10)</f>
        <v>0</v>
      </c>
      <c r="F19" s="954" t="e">
        <f>SUM('3. sz. mell'!F18+'4. sz. mell.'!F10+'5. sz. mell. '!F10)</f>
        <v>#REF!</v>
      </c>
      <c r="G19" s="103" t="e">
        <f t="shared" ref="G19:G25" si="0">F19/E19*100</f>
        <v>#REF!</v>
      </c>
    </row>
    <row r="20" spans="1:7" s="183" customFormat="1" ht="15" customHeight="1" x14ac:dyDescent="0.2">
      <c r="A20" s="184"/>
      <c r="B20" s="185" t="s">
        <v>26</v>
      </c>
      <c r="C20" s="15" t="s">
        <v>27</v>
      </c>
      <c r="D20" s="103">
        <f>SUM('3. sz. mell'!D19+'4. sz. mell.'!D11+'5. sz. mell. '!D11)</f>
        <v>55503</v>
      </c>
      <c r="E20" s="101">
        <f>SUM('3. sz. mell'!E19+'4. sz. mell.'!E11+'5. sz. mell. '!E11)</f>
        <v>0</v>
      </c>
      <c r="F20" s="954">
        <f>SUM('3. sz. mell'!F19+'4. sz. mell.'!F11+'5. sz. mell. '!F11)</f>
        <v>0</v>
      </c>
      <c r="G20" s="103" t="e">
        <f t="shared" si="0"/>
        <v>#DIV/0!</v>
      </c>
    </row>
    <row r="21" spans="1:7" s="183" customFormat="1" ht="15" customHeight="1" x14ac:dyDescent="0.2">
      <c r="A21" s="184"/>
      <c r="B21" s="185" t="s">
        <v>28</v>
      </c>
      <c r="C21" s="15" t="s">
        <v>29</v>
      </c>
      <c r="D21" s="103">
        <f>SUM('3. sz. mell'!D20+'4. sz. mell.'!D12+'5. sz. mell. '!D12)</f>
        <v>2571</v>
      </c>
      <c r="E21" s="101">
        <f>SUM('3. sz. mell'!E20+'4. sz. mell.'!E12+'5. sz. mell. '!E12)</f>
        <v>0</v>
      </c>
      <c r="F21" s="954">
        <f>SUM('3. sz. mell'!F20+'4. sz. mell.'!F12+'5. sz. mell. '!F12)</f>
        <v>0</v>
      </c>
      <c r="G21" s="103" t="e">
        <f t="shared" si="0"/>
        <v>#DIV/0!</v>
      </c>
    </row>
    <row r="22" spans="1:7" s="183" customFormat="1" ht="15" customHeight="1" x14ac:dyDescent="0.2">
      <c r="A22" s="184"/>
      <c r="B22" s="185" t="s">
        <v>30</v>
      </c>
      <c r="C22" s="22" t="s">
        <v>31</v>
      </c>
      <c r="D22" s="103">
        <f>SUM('3. sz. mell'!D21+'4. sz. mell.'!D13+'5. sz. mell. '!D13)</f>
        <v>907</v>
      </c>
      <c r="E22" s="101">
        <f>SUM('3. sz. mell'!E21+'4. sz. mell.'!E13+'5. sz. mell. '!E13)</f>
        <v>0</v>
      </c>
      <c r="F22" s="954">
        <f>SUM('3. sz. mell'!F21+'4. sz. mell.'!F13+'5. sz. mell. '!F13)</f>
        <v>0</v>
      </c>
      <c r="G22" s="103" t="e">
        <f t="shared" si="0"/>
        <v>#DIV/0!</v>
      </c>
    </row>
    <row r="23" spans="1:7" s="183" customFormat="1" ht="15" customHeight="1" x14ac:dyDescent="0.2">
      <c r="A23" s="188"/>
      <c r="B23" s="185" t="s">
        <v>32</v>
      </c>
      <c r="C23" s="15" t="s">
        <v>33</v>
      </c>
      <c r="D23" s="103">
        <f>SUM('3. sz. mell'!D22+'4. sz. mell.'!D14+'5. sz. mell. '!D14)</f>
        <v>56481</v>
      </c>
      <c r="E23" s="101">
        <f>SUM('3. sz. mell'!E22+'4. sz. mell.'!E14+'5. sz. mell. '!E14)</f>
        <v>0</v>
      </c>
      <c r="F23" s="954">
        <f>SUM('3. sz. mell'!F22+'4. sz. mell.'!F14+'5. sz. mell. '!F14)</f>
        <v>0</v>
      </c>
      <c r="G23" s="103" t="e">
        <f t="shared" si="0"/>
        <v>#DIV/0!</v>
      </c>
    </row>
    <row r="24" spans="1:7" s="187" customFormat="1" ht="15" customHeight="1" x14ac:dyDescent="0.2">
      <c r="A24" s="184"/>
      <c r="B24" s="185" t="s">
        <v>34</v>
      </c>
      <c r="C24" s="15" t="s">
        <v>35</v>
      </c>
      <c r="D24" s="103">
        <f>SUM('3. sz. mell'!D23+'4. sz. mell.'!D15+'5. sz. mell. '!D15)</f>
        <v>0</v>
      </c>
      <c r="E24" s="101">
        <f>SUM('3. sz. mell'!E23+'4. sz. mell.'!E15+'5. sz. mell. '!E15)</f>
        <v>0</v>
      </c>
      <c r="F24" s="954">
        <f>SUM('3. sz. mell'!F23+'4. sz. mell.'!F15+'5. sz. mell. '!F15)</f>
        <v>0</v>
      </c>
      <c r="G24" s="103" t="e">
        <f t="shared" si="0"/>
        <v>#DIV/0!</v>
      </c>
    </row>
    <row r="25" spans="1:7" s="187" customFormat="1" ht="15" customHeight="1" thickBot="1" x14ac:dyDescent="0.25">
      <c r="A25" s="194"/>
      <c r="B25" s="195" t="s">
        <v>36</v>
      </c>
      <c r="C25" s="22" t="s">
        <v>37</v>
      </c>
      <c r="D25" s="107">
        <f>SUM('3. sz. mell'!D24+'4. sz. mell.'!D16+'5. sz. mell. '!D16)</f>
        <v>0</v>
      </c>
      <c r="E25" s="106">
        <f>SUM('3. sz. mell'!E24+'4. sz. mell.'!E16+'5. sz. mell. '!E16)</f>
        <v>0</v>
      </c>
      <c r="F25" s="956">
        <f>SUM('3. sz. mell'!F24+'4. sz. mell.'!F16+'5. sz. mell. '!F16)</f>
        <v>0</v>
      </c>
      <c r="G25" s="107" t="e">
        <f t="shared" si="0"/>
        <v>#DIV/0!</v>
      </c>
    </row>
    <row r="26" spans="1:7" s="187" customFormat="1" ht="15" hidden="1" customHeight="1" thickBot="1" x14ac:dyDescent="0.25">
      <c r="A26" s="180" t="s">
        <v>150</v>
      </c>
      <c r="B26" s="196"/>
      <c r="C26" s="182" t="s">
        <v>38</v>
      </c>
      <c r="D26" s="112">
        <f>SUM('3. sz. mell'!D25+'4. sz. mell.'!D23)</f>
        <v>0</v>
      </c>
      <c r="E26" s="110"/>
      <c r="F26" s="210"/>
      <c r="G26" s="112"/>
    </row>
    <row r="27" spans="1:7" s="187" customFormat="1" ht="15" customHeight="1" thickBot="1" x14ac:dyDescent="0.25">
      <c r="A27" s="1382" t="s">
        <v>150</v>
      </c>
      <c r="B27" s="12"/>
      <c r="C27" s="12" t="s">
        <v>1910</v>
      </c>
      <c r="D27" s="112">
        <f>SUM(D28+D36)</f>
        <v>604699</v>
      </c>
      <c r="E27" s="110">
        <f>SUM(E28+E36)</f>
        <v>0</v>
      </c>
      <c r="F27" s="210" t="e">
        <f>SUM(F28+F36)</f>
        <v>#REF!</v>
      </c>
      <c r="G27" s="112" t="e">
        <f>F27/E27*100</f>
        <v>#REF!</v>
      </c>
    </row>
    <row r="28" spans="1:7" s="1394" customFormat="1" ht="15" customHeight="1" x14ac:dyDescent="0.2">
      <c r="A28" s="1389"/>
      <c r="B28" s="1390" t="s">
        <v>287</v>
      </c>
      <c r="C28" s="1391" t="s">
        <v>1911</v>
      </c>
      <c r="D28" s="1392">
        <f>SUM(D29:D33)</f>
        <v>447504</v>
      </c>
      <c r="E28" s="1393">
        <f>SUM(E29:E35)</f>
        <v>0</v>
      </c>
      <c r="F28" s="1393" t="e">
        <f>SUM(F29:F35)</f>
        <v>#REF!</v>
      </c>
      <c r="G28" s="1392" t="e">
        <f>F28/E28*100</f>
        <v>#REF!</v>
      </c>
    </row>
    <row r="29" spans="1:7" s="187" customFormat="1" ht="15" customHeight="1" x14ac:dyDescent="0.2">
      <c r="A29" s="184"/>
      <c r="B29" s="200" t="s">
        <v>1898</v>
      </c>
      <c r="C29" s="32" t="s">
        <v>52</v>
      </c>
      <c r="D29" s="103">
        <f>SUM('5.11 sz. mell '!D18)</f>
        <v>442256</v>
      </c>
      <c r="E29" s="101">
        <f>SUM('5.11 sz. mell '!E18)</f>
        <v>0</v>
      </c>
      <c r="F29" s="954" t="e">
        <f>SUM('5.11 sz. mell '!F18)</f>
        <v>#REF!</v>
      </c>
      <c r="G29" s="103" t="e">
        <f>F29/E29*100</f>
        <v>#REF!</v>
      </c>
    </row>
    <row r="30" spans="1:7" s="187" customFormat="1" ht="15" customHeight="1" x14ac:dyDescent="0.2">
      <c r="A30" s="184"/>
      <c r="B30" s="200" t="s">
        <v>1899</v>
      </c>
      <c r="C30" s="32" t="s">
        <v>54</v>
      </c>
      <c r="D30" s="103"/>
      <c r="E30" s="101"/>
      <c r="F30" s="954"/>
      <c r="G30" s="103"/>
    </row>
    <row r="31" spans="1:7" s="187" customFormat="1" ht="15" customHeight="1" x14ac:dyDescent="0.2">
      <c r="A31" s="184"/>
      <c r="B31" s="200" t="s">
        <v>1900</v>
      </c>
      <c r="C31" s="32" t="s">
        <v>275</v>
      </c>
      <c r="D31" s="103">
        <f>SUM('3. sz. mell'!D39)</f>
        <v>0</v>
      </c>
      <c r="E31" s="101">
        <f>SUM('3. sz. mell'!E39)</f>
        <v>0</v>
      </c>
      <c r="F31" s="101">
        <f>SUM('3. sz. mell'!F39)+'5. sz. mell. '!F26+'5.9.1..sz mell.'!G62+'5.9.1..sz mell.'!G14</f>
        <v>0</v>
      </c>
      <c r="G31" s="103" t="e">
        <f>F31/E31*100</f>
        <v>#DIV/0!</v>
      </c>
    </row>
    <row r="32" spans="1:7" s="187" customFormat="1" ht="15" customHeight="1" x14ac:dyDescent="0.2">
      <c r="A32" s="184"/>
      <c r="B32" s="200" t="s">
        <v>1901</v>
      </c>
      <c r="C32" s="32" t="s">
        <v>58</v>
      </c>
      <c r="D32" s="103"/>
      <c r="E32" s="101">
        <f>'3. sz. mell'!E40</f>
        <v>0</v>
      </c>
      <c r="F32" s="954">
        <f>'3. sz. mell'!F40</f>
        <v>0</v>
      </c>
      <c r="G32" s="103"/>
    </row>
    <row r="33" spans="1:11" s="187" customFormat="1" ht="15" customHeight="1" x14ac:dyDescent="0.2">
      <c r="A33" s="184"/>
      <c r="B33" s="200" t="s">
        <v>1902</v>
      </c>
      <c r="C33" s="32" t="s">
        <v>60</v>
      </c>
      <c r="D33" s="103">
        <f>SUM('5. sz. mell. '!D23)</f>
        <v>5248</v>
      </c>
      <c r="E33" s="101">
        <f>'5. sz. mell. '!E25+'5. sz. mell. '!E23</f>
        <v>0</v>
      </c>
      <c r="F33" s="101">
        <f>'5. sz. mell. '!F25+'5. sz. mell. '!F23-'5.9.1..sz mell.'!G14-'5.9.1..sz mell.'!G62</f>
        <v>-791</v>
      </c>
      <c r="G33" s="103" t="e">
        <f>F33/E33*100</f>
        <v>#DIV/0!</v>
      </c>
    </row>
    <row r="34" spans="1:11" s="187" customFormat="1" ht="15" customHeight="1" x14ac:dyDescent="0.2">
      <c r="A34" s="184"/>
      <c r="B34" s="200" t="s">
        <v>1903</v>
      </c>
      <c r="C34" s="32" t="s">
        <v>62</v>
      </c>
      <c r="D34" s="103"/>
      <c r="E34" s="101">
        <f>'3. sz. mell'!E42</f>
        <v>0</v>
      </c>
      <c r="F34" s="954">
        <f>'3. sz. mell'!F42</f>
        <v>0</v>
      </c>
      <c r="G34" s="103" t="e">
        <f>F34/E34*100</f>
        <v>#DIV/0!</v>
      </c>
    </row>
    <row r="35" spans="1:11" s="187" customFormat="1" ht="15" customHeight="1" x14ac:dyDescent="0.2">
      <c r="A35" s="184"/>
      <c r="B35" s="200" t="s">
        <v>1904</v>
      </c>
      <c r="C35" s="32" t="s">
        <v>1942</v>
      </c>
      <c r="D35" s="103"/>
      <c r="E35" s="101">
        <f>'5. sz. mell. '!E24</f>
        <v>0</v>
      </c>
      <c r="F35" s="101">
        <f>'5. sz. mell. '!F24</f>
        <v>0</v>
      </c>
      <c r="G35" s="103" t="e">
        <f>F35/E35*100</f>
        <v>#DIV/0!</v>
      </c>
    </row>
    <row r="36" spans="1:11" s="1394" customFormat="1" ht="15" customHeight="1" x14ac:dyDescent="0.2">
      <c r="A36" s="1395"/>
      <c r="B36" s="1396" t="s">
        <v>1415</v>
      </c>
      <c r="C36" s="1397" t="s">
        <v>1912</v>
      </c>
      <c r="D36" s="1398">
        <f>SUM(D37:D41)</f>
        <v>157195</v>
      </c>
      <c r="E36" s="1399">
        <f>SUM(E37:E41)</f>
        <v>0</v>
      </c>
      <c r="F36" s="1400">
        <f>SUM(F37:F41)</f>
        <v>0</v>
      </c>
      <c r="G36" s="1401" t="e">
        <f>F36/E36*100</f>
        <v>#DIV/0!</v>
      </c>
    </row>
    <row r="37" spans="1:11" s="187" customFormat="1" ht="15" customHeight="1" x14ac:dyDescent="0.2">
      <c r="A37" s="184"/>
      <c r="B37" s="200" t="s">
        <v>1905</v>
      </c>
      <c r="C37" s="32" t="s">
        <v>52</v>
      </c>
      <c r="D37" s="103"/>
      <c r="E37" s="101"/>
      <c r="F37" s="954"/>
      <c r="G37" s="103"/>
    </row>
    <row r="38" spans="1:11" s="187" customFormat="1" ht="15" customHeight="1" x14ac:dyDescent="0.2">
      <c r="A38" s="184"/>
      <c r="B38" s="200" t="s">
        <v>1906</v>
      </c>
      <c r="C38" s="32" t="s">
        <v>54</v>
      </c>
      <c r="D38" s="103"/>
      <c r="E38" s="101"/>
      <c r="F38" s="954"/>
      <c r="G38" s="103"/>
    </row>
    <row r="39" spans="1:11" s="187" customFormat="1" ht="30.75" customHeight="1" x14ac:dyDescent="0.2">
      <c r="A39" s="184"/>
      <c r="B39" s="200" t="s">
        <v>1907</v>
      </c>
      <c r="C39" s="32" t="s">
        <v>56</v>
      </c>
      <c r="D39" s="103"/>
      <c r="E39" s="101"/>
      <c r="F39" s="954"/>
      <c r="G39" s="103"/>
    </row>
    <row r="40" spans="1:11" s="187" customFormat="1" ht="15" customHeight="1" x14ac:dyDescent="0.2">
      <c r="A40" s="184"/>
      <c r="B40" s="200" t="s">
        <v>1908</v>
      </c>
      <c r="C40" s="32" t="s">
        <v>58</v>
      </c>
      <c r="D40" s="103"/>
      <c r="E40" s="101">
        <f>SUM('3. sz. mell'!E47)</f>
        <v>0</v>
      </c>
      <c r="F40" s="101">
        <f>SUM('3. sz. mell'!F47)</f>
        <v>0</v>
      </c>
      <c r="G40" s="103" t="e">
        <f>F40/E40*100</f>
        <v>#DIV/0!</v>
      </c>
      <c r="K40" s="201"/>
    </row>
    <row r="41" spans="1:11" s="187" customFormat="1" ht="15" customHeight="1" thickBot="1" x14ac:dyDescent="0.25">
      <c r="A41" s="202"/>
      <c r="B41" s="200" t="s">
        <v>1909</v>
      </c>
      <c r="C41" s="34" t="s">
        <v>1943</v>
      </c>
      <c r="D41" s="198">
        <f>SUM('3. sz. mell'!D48)</f>
        <v>157195</v>
      </c>
      <c r="E41" s="964"/>
      <c r="F41" s="957"/>
      <c r="G41" s="198"/>
      <c r="K41" s="201"/>
    </row>
    <row r="42" spans="1:11" s="187" customFormat="1" ht="15" customHeight="1" thickBot="1" x14ac:dyDescent="0.25">
      <c r="A42" s="204" t="s">
        <v>39</v>
      </c>
      <c r="B42" s="200"/>
      <c r="C42" s="15" t="s">
        <v>77</v>
      </c>
      <c r="D42" s="98"/>
      <c r="E42" s="97">
        <f>'3. sz. mell'!E54+'5. sz. mell. '!E31</f>
        <v>0</v>
      </c>
      <c r="F42" s="958" t="e">
        <f>'3. sz. mell'!F54+'5. sz. mell. '!F31</f>
        <v>#REF!</v>
      </c>
      <c r="G42" s="98" t="e">
        <f>F42/E42*100</f>
        <v>#REF!</v>
      </c>
      <c r="K42" s="201"/>
    </row>
    <row r="43" spans="1:11" ht="15" customHeight="1" thickBot="1" x14ac:dyDescent="0.25">
      <c r="A43" s="1580" t="s">
        <v>1424</v>
      </c>
      <c r="B43" s="1581"/>
      <c r="C43" s="1582"/>
      <c r="D43" s="112">
        <f>D8+D17+D27+D42</f>
        <v>2545521</v>
      </c>
      <c r="E43" s="110">
        <f>E8+E17+E27+E42</f>
        <v>0</v>
      </c>
      <c r="F43" s="210" t="e">
        <f>F8+F17+F27+F42</f>
        <v>#REF!</v>
      </c>
      <c r="G43" s="112" t="e">
        <f>F43/E43*100</f>
        <v>#REF!</v>
      </c>
    </row>
    <row r="44" spans="1:11" s="187" customFormat="1" ht="15" hidden="1" customHeight="1" thickBot="1" x14ac:dyDescent="0.25">
      <c r="A44" s="1583" t="s">
        <v>1425</v>
      </c>
      <c r="B44" s="1584"/>
      <c r="C44" s="1585"/>
      <c r="D44" s="936"/>
      <c r="E44" s="965">
        <f>E45+E49</f>
        <v>0</v>
      </c>
      <c r="F44" s="936" t="e">
        <f>F45+F49</f>
        <v>#REF!</v>
      </c>
      <c r="G44" s="936" t="e">
        <f>F44/E44*100</f>
        <v>#REF!</v>
      </c>
      <c r="K44" s="201"/>
    </row>
    <row r="45" spans="1:11" s="183" customFormat="1" ht="15" customHeight="1" thickBot="1" x14ac:dyDescent="0.25">
      <c r="A45" s="1382" t="s">
        <v>49</v>
      </c>
      <c r="B45" s="181"/>
      <c r="C45" s="12" t="s">
        <v>1915</v>
      </c>
      <c r="D45" s="112">
        <f>SUM(D46:D48)</f>
        <v>200000</v>
      </c>
      <c r="E45" s="110">
        <f>SUM(E46:E48)</f>
        <v>0</v>
      </c>
      <c r="F45" s="210" t="e">
        <f>SUM(F46:F48)</f>
        <v>#REF!</v>
      </c>
      <c r="G45" s="112" t="e">
        <f>F45/E45*100</f>
        <v>#REF!</v>
      </c>
      <c r="K45" s="201"/>
    </row>
    <row r="46" spans="1:11" s="187" customFormat="1" ht="15" customHeight="1" x14ac:dyDescent="0.2">
      <c r="A46" s="184"/>
      <c r="B46" s="200" t="s">
        <v>50</v>
      </c>
      <c r="C46" s="27" t="s">
        <v>71</v>
      </c>
      <c r="D46" s="103">
        <f>SUM('3. sz. mell'!D50)</f>
        <v>200000</v>
      </c>
      <c r="E46" s="101">
        <f>'3. sz. mell'!E50+'5. sz. mell. '!E32</f>
        <v>0</v>
      </c>
      <c r="F46" s="954" t="e">
        <f>'3. sz. mell'!F50+'5. sz. mell. '!F32</f>
        <v>#REF!</v>
      </c>
      <c r="G46" s="103" t="e">
        <f>F46/E46*100</f>
        <v>#REF!</v>
      </c>
      <c r="K46" s="201"/>
    </row>
    <row r="47" spans="1:11" s="187" customFormat="1" ht="15" customHeight="1" x14ac:dyDescent="0.2">
      <c r="A47" s="184"/>
      <c r="B47" s="200" t="s">
        <v>63</v>
      </c>
      <c r="C47" s="15" t="s">
        <v>73</v>
      </c>
      <c r="D47" s="103"/>
      <c r="E47" s="101"/>
      <c r="F47" s="954"/>
      <c r="G47" s="103"/>
      <c r="K47" s="201"/>
    </row>
    <row r="48" spans="1:11" s="187" customFormat="1" ht="15" customHeight="1" x14ac:dyDescent="0.25">
      <c r="A48" s="184"/>
      <c r="B48" s="200" t="s">
        <v>1913</v>
      </c>
      <c r="C48" s="36" t="s">
        <v>74</v>
      </c>
      <c r="D48" s="103">
        <f>SUM('3. sz. mell'!D52)</f>
        <v>0</v>
      </c>
      <c r="E48" s="101">
        <f>SUM('3. sz. mell'!E52)</f>
        <v>0</v>
      </c>
      <c r="F48" s="954">
        <f>SUM('3. sz. mell'!F52)</f>
        <v>0</v>
      </c>
      <c r="G48" s="103" t="e">
        <f t="shared" ref="G48:G53" si="1">F48/E48*100</f>
        <v>#DIV/0!</v>
      </c>
      <c r="K48" s="201"/>
    </row>
    <row r="49" spans="1:11" s="187" customFormat="1" ht="15" customHeight="1" thickBot="1" x14ac:dyDescent="0.25">
      <c r="A49" s="1382" t="s">
        <v>179</v>
      </c>
      <c r="B49" s="181"/>
      <c r="C49" s="12" t="s">
        <v>1916</v>
      </c>
      <c r="D49" s="112">
        <f>SUM(D50)</f>
        <v>500</v>
      </c>
      <c r="E49" s="110">
        <f>SUM(E50)</f>
        <v>0</v>
      </c>
      <c r="F49" s="210" t="e">
        <f>SUM(F50)</f>
        <v>#REF!</v>
      </c>
      <c r="G49" s="112" t="e">
        <f t="shared" si="1"/>
        <v>#REF!</v>
      </c>
      <c r="K49" s="201"/>
    </row>
    <row r="50" spans="1:11" s="187" customFormat="1" ht="15" customHeight="1" thickBot="1" x14ac:dyDescent="0.25">
      <c r="A50" s="184"/>
      <c r="B50" s="200" t="s">
        <v>70</v>
      </c>
      <c r="C50" s="15" t="s">
        <v>79</v>
      </c>
      <c r="D50" s="103">
        <f>SUM('3. sz. mell'!D55)</f>
        <v>500</v>
      </c>
      <c r="E50" s="101">
        <f>SUM('3. sz. mell'!E55)+'5. sz. mell. '!E29</f>
        <v>0</v>
      </c>
      <c r="F50" s="101" t="e">
        <f>SUM('3. sz. mell'!F55)+'5. sz. mell. '!F29</f>
        <v>#REF!</v>
      </c>
      <c r="G50" s="103" t="e">
        <f t="shared" si="1"/>
        <v>#REF!</v>
      </c>
      <c r="K50" s="201"/>
    </row>
    <row r="51" spans="1:11" s="187" customFormat="1" ht="15" customHeight="1" thickBot="1" x14ac:dyDescent="0.25">
      <c r="A51" s="1382" t="s">
        <v>75</v>
      </c>
      <c r="B51" s="205"/>
      <c r="C51" s="206" t="s">
        <v>1917</v>
      </c>
      <c r="D51" s="207">
        <f>SUM('3. sz. mell'!D56)</f>
        <v>500</v>
      </c>
      <c r="E51" s="966">
        <f>SUM('3. sz. mell'!E56)</f>
        <v>0</v>
      </c>
      <c r="F51" s="207">
        <f>SUM('3. sz. mell'!F56)</f>
        <v>0</v>
      </c>
      <c r="G51" s="207" t="e">
        <f t="shared" si="1"/>
        <v>#DIV/0!</v>
      </c>
      <c r="K51" s="201"/>
    </row>
    <row r="52" spans="1:11" s="183" customFormat="1" ht="30.75" thickBot="1" x14ac:dyDescent="0.25">
      <c r="A52" s="1382" t="s">
        <v>207</v>
      </c>
      <c r="B52" s="181"/>
      <c r="C52" s="950" t="s">
        <v>1914</v>
      </c>
      <c r="D52" s="951">
        <f>+D8+D17+D26+D54+D27+D45+D49+D51</f>
        <v>3273191</v>
      </c>
      <c r="E52" s="967">
        <f>+E8+E17+E26+E54+E27+E45+E49+E51+E42</f>
        <v>0</v>
      </c>
      <c r="F52" s="951" t="e">
        <f>+F8+F17+F26+F54+F27+F45+F49+F51+F42</f>
        <v>#REF!</v>
      </c>
      <c r="G52" s="951" t="e">
        <f t="shared" si="1"/>
        <v>#REF!</v>
      </c>
      <c r="K52" s="201"/>
    </row>
    <row r="53" spans="1:11" s="187" customFormat="1" ht="15" customHeight="1" thickBot="1" x14ac:dyDescent="0.25">
      <c r="A53" s="1586" t="s">
        <v>1427</v>
      </c>
      <c r="B53" s="1587"/>
      <c r="C53" s="1588"/>
      <c r="D53" s="936"/>
      <c r="E53" s="965">
        <f>E54+E63</f>
        <v>0</v>
      </c>
      <c r="F53" s="936" t="e">
        <f>F54+F63</f>
        <v>#REF!</v>
      </c>
      <c r="G53" s="949" t="e">
        <f t="shared" si="1"/>
        <v>#REF!</v>
      </c>
      <c r="K53" s="201"/>
    </row>
    <row r="54" spans="1:11" s="183" customFormat="1" ht="15" customHeight="1" thickBot="1" x14ac:dyDescent="0.25">
      <c r="A54" s="1382" t="s">
        <v>80</v>
      </c>
      <c r="B54" s="181"/>
      <c r="C54" s="182" t="s">
        <v>1925</v>
      </c>
      <c r="D54" s="112">
        <f>SUM(D55:D62)</f>
        <v>526670</v>
      </c>
      <c r="E54" s="110">
        <f>SUM(E55:E62)</f>
        <v>0</v>
      </c>
      <c r="F54" s="210">
        <f>SUM(F55:F62)</f>
        <v>0</v>
      </c>
      <c r="G54" s="112" t="e">
        <f t="shared" ref="G54:G73" si="2">F54/E54*100</f>
        <v>#DIV/0!</v>
      </c>
    </row>
    <row r="55" spans="1:11" s="187" customFormat="1" ht="15" customHeight="1" x14ac:dyDescent="0.2">
      <c r="A55" s="184"/>
      <c r="B55" s="185" t="s">
        <v>1114</v>
      </c>
      <c r="C55" s="27" t="s">
        <v>1846</v>
      </c>
      <c r="D55" s="197">
        <f>SUM('3. sz. mell'!D27)</f>
        <v>517641</v>
      </c>
      <c r="E55" s="968">
        <f>SUM('3. sz. mell'!E27)</f>
        <v>0</v>
      </c>
      <c r="F55" s="959">
        <f>SUM('3. sz. mell'!F27)</f>
        <v>0</v>
      </c>
      <c r="G55" s="197" t="e">
        <f t="shared" si="2"/>
        <v>#DIV/0!</v>
      </c>
    </row>
    <row r="56" spans="1:11" s="187" customFormat="1" ht="15" customHeight="1" x14ac:dyDescent="0.2">
      <c r="A56" s="184"/>
      <c r="B56" s="185" t="s">
        <v>1918</v>
      </c>
      <c r="C56" s="15" t="s">
        <v>42</v>
      </c>
      <c r="D56" s="103">
        <f>SUM('3. sz. mell'!D28)</f>
        <v>0</v>
      </c>
      <c r="E56" s="101">
        <f>SUM('3. sz. mell'!E28)</f>
        <v>0</v>
      </c>
      <c r="F56" s="954">
        <f>SUM('3. sz. mell'!F28)</f>
        <v>0</v>
      </c>
      <c r="G56" s="103" t="e">
        <f t="shared" si="2"/>
        <v>#DIV/0!</v>
      </c>
    </row>
    <row r="57" spans="1:11" s="187" customFormat="1" ht="15" customHeight="1" x14ac:dyDescent="0.2">
      <c r="A57" s="184"/>
      <c r="B57" s="185" t="s">
        <v>1919</v>
      </c>
      <c r="C57" s="15" t="s">
        <v>43</v>
      </c>
      <c r="D57" s="103">
        <f>SUM('3.1.asz.melléklet'!E58)</f>
        <v>9029</v>
      </c>
      <c r="E57" s="101">
        <f>SUM('3. sz. mell'!E29)</f>
        <v>0</v>
      </c>
      <c r="F57" s="954">
        <f>SUM('3. sz. mell'!F29)</f>
        <v>0</v>
      </c>
      <c r="G57" s="103" t="e">
        <f t="shared" si="2"/>
        <v>#DIV/0!</v>
      </c>
    </row>
    <row r="58" spans="1:11" s="187" customFormat="1" ht="15" customHeight="1" x14ac:dyDescent="0.2">
      <c r="A58" s="184"/>
      <c r="B58" s="185" t="s">
        <v>1920</v>
      </c>
      <c r="C58" s="15" t="s">
        <v>44</v>
      </c>
      <c r="D58" s="103"/>
      <c r="E58" s="101"/>
      <c r="F58" s="954"/>
      <c r="G58" s="103"/>
    </row>
    <row r="59" spans="1:11" s="187" customFormat="1" ht="15" customHeight="1" x14ac:dyDescent="0.2">
      <c r="A59" s="184"/>
      <c r="B59" s="185" t="s">
        <v>1921</v>
      </c>
      <c r="C59" s="15" t="s">
        <v>45</v>
      </c>
      <c r="D59" s="103">
        <f>SUM('3. sz. mell'!D31)</f>
        <v>0</v>
      </c>
      <c r="E59" s="101">
        <f>SUM('3. sz. mell'!E31)</f>
        <v>0</v>
      </c>
      <c r="F59" s="954">
        <f>SUM('3. sz. mell'!F31)</f>
        <v>0</v>
      </c>
      <c r="G59" s="103"/>
    </row>
    <row r="60" spans="1:11" s="187" customFormat="1" ht="15" customHeight="1" x14ac:dyDescent="0.2">
      <c r="A60" s="184"/>
      <c r="B60" s="185" t="s">
        <v>1922</v>
      </c>
      <c r="C60" s="15" t="s">
        <v>46</v>
      </c>
      <c r="D60" s="103">
        <f>SUM('3. sz. mell'!D32)</f>
        <v>0</v>
      </c>
      <c r="E60" s="101">
        <f>SUM('3. sz. mell'!E32)</f>
        <v>0</v>
      </c>
      <c r="F60" s="954">
        <f>SUM('3. sz. mell'!F32)</f>
        <v>0</v>
      </c>
      <c r="G60" s="103"/>
    </row>
    <row r="61" spans="1:11" s="187" customFormat="1" ht="15" customHeight="1" x14ac:dyDescent="0.2">
      <c r="A61" s="184"/>
      <c r="B61" s="185" t="s">
        <v>1923</v>
      </c>
      <c r="C61" s="15" t="s">
        <v>47</v>
      </c>
      <c r="D61" s="107">
        <f>SUM('3. sz. mell'!D33)</f>
        <v>0</v>
      </c>
      <c r="E61" s="106">
        <f>SUM('3. sz. mell'!E33)</f>
        <v>0</v>
      </c>
      <c r="F61" s="956">
        <f>SUM('3. sz. mell'!F33)</f>
        <v>0</v>
      </c>
      <c r="G61" s="107"/>
    </row>
    <row r="62" spans="1:11" s="187" customFormat="1" ht="15" customHeight="1" thickBot="1" x14ac:dyDescent="0.25">
      <c r="A62" s="194"/>
      <c r="B62" s="185" t="s">
        <v>1924</v>
      </c>
      <c r="C62" s="84" t="s">
        <v>274</v>
      </c>
      <c r="D62" s="198">
        <f>SUM('3. sz. mell'!D34)</f>
        <v>0</v>
      </c>
      <c r="E62" s="964">
        <f>SUM('3. sz. mell'!E34)</f>
        <v>0</v>
      </c>
      <c r="F62" s="957">
        <f>SUM('3. sz. mell'!F34)</f>
        <v>0</v>
      </c>
      <c r="G62" s="198" t="e">
        <f t="shared" si="2"/>
        <v>#DIV/0!</v>
      </c>
    </row>
    <row r="63" spans="1:11" s="187" customFormat="1" ht="15" customHeight="1" thickBot="1" x14ac:dyDescent="0.3">
      <c r="A63" s="212" t="s">
        <v>81</v>
      </c>
      <c r="B63" s="213"/>
      <c r="C63" s="12" t="s">
        <v>1926</v>
      </c>
      <c r="D63" s="220"/>
      <c r="E63" s="969">
        <f>SUM(E64:E66)</f>
        <v>0</v>
      </c>
      <c r="F63" s="969" t="e">
        <f>SUM(F64:F66)</f>
        <v>#REF!</v>
      </c>
      <c r="G63" s="220" t="e">
        <f t="shared" si="2"/>
        <v>#REF!</v>
      </c>
    </row>
    <row r="64" spans="1:11" s="187" customFormat="1" ht="15" customHeight="1" x14ac:dyDescent="0.2">
      <c r="A64" s="184"/>
      <c r="B64" s="200" t="s">
        <v>1115</v>
      </c>
      <c r="C64" s="32" t="s">
        <v>908</v>
      </c>
      <c r="D64" s="103"/>
      <c r="E64" s="101">
        <f>'4. sz. mell.'!E28+'5. sz. mell. '!E40</f>
        <v>0</v>
      </c>
      <c r="F64" s="954" t="e">
        <f>'4. sz. mell.'!F28+'5. sz. mell. '!F40</f>
        <v>#REF!</v>
      </c>
      <c r="G64" s="103" t="e">
        <f t="shared" si="2"/>
        <v>#REF!</v>
      </c>
      <c r="I64" s="187">
        <f>SUM(D76-D101)</f>
        <v>-341932</v>
      </c>
    </row>
    <row r="65" spans="1:11" s="187" customFormat="1" ht="15" customHeight="1" x14ac:dyDescent="0.2">
      <c r="A65" s="184"/>
      <c r="B65" s="200" t="s">
        <v>1116</v>
      </c>
      <c r="C65" s="32" t="s">
        <v>276</v>
      </c>
      <c r="D65" s="103"/>
      <c r="E65" s="101">
        <f>'4. sz. mell.'!E18+'5. sz. mell. '!E20</f>
        <v>0</v>
      </c>
      <c r="F65" s="954">
        <f>'4. sz. mell.'!F18+'5. sz. mell. '!F20</f>
        <v>0</v>
      </c>
      <c r="G65" s="103" t="e">
        <f t="shared" si="2"/>
        <v>#DIV/0!</v>
      </c>
    </row>
    <row r="66" spans="1:11" s="187" customFormat="1" ht="15" customHeight="1" thickBot="1" x14ac:dyDescent="0.25">
      <c r="A66" s="202"/>
      <c r="B66" s="200" t="s">
        <v>1927</v>
      </c>
      <c r="C66" s="34" t="s">
        <v>69</v>
      </c>
      <c r="D66" s="198"/>
      <c r="E66" s="964">
        <f>'5. sz. mell. '!E28</f>
        <v>0</v>
      </c>
      <c r="F66" s="964" t="e">
        <f>'5. sz. mell. '!F28</f>
        <v>#REF!</v>
      </c>
      <c r="G66" s="198" t="e">
        <f t="shared" si="2"/>
        <v>#REF!</v>
      </c>
      <c r="K66" s="201"/>
    </row>
    <row r="67" spans="1:11" s="183" customFormat="1" ht="29.25" thickBot="1" x14ac:dyDescent="0.25">
      <c r="A67" s="1382" t="s">
        <v>86</v>
      </c>
      <c r="B67" s="209"/>
      <c r="C67" s="12" t="s">
        <v>1930</v>
      </c>
      <c r="D67" s="210">
        <f>+D68+D69</f>
        <v>0</v>
      </c>
      <c r="E67" s="970">
        <f>+E68+E69</f>
        <v>0</v>
      </c>
      <c r="F67" s="210" t="e">
        <f>+F68+F69</f>
        <v>#REF!</v>
      </c>
      <c r="G67" s="210" t="e">
        <f t="shared" si="2"/>
        <v>#REF!</v>
      </c>
      <c r="K67" s="201">
        <v>60000</v>
      </c>
    </row>
    <row r="68" spans="1:11" s="183" customFormat="1" ht="15" customHeight="1" x14ac:dyDescent="0.2">
      <c r="A68" s="192"/>
      <c r="B68" s="199" t="s">
        <v>87</v>
      </c>
      <c r="C68" s="19" t="s">
        <v>83</v>
      </c>
      <c r="D68" s="211"/>
      <c r="E68" s="971">
        <f>'3. sz. mell'!E59+'5. sz. mell. '!E38</f>
        <v>0</v>
      </c>
      <c r="F68" s="211" t="e">
        <f>'3. sz. mell'!F59+'5. sz. mell. '!F38</f>
        <v>#REF!</v>
      </c>
      <c r="G68" s="211" t="e">
        <f t="shared" si="2"/>
        <v>#REF!</v>
      </c>
      <c r="K68" s="201"/>
    </row>
    <row r="69" spans="1:11" s="183" customFormat="1" ht="15" customHeight="1" x14ac:dyDescent="0.2">
      <c r="A69" s="202"/>
      <c r="B69" s="203" t="s">
        <v>94</v>
      </c>
      <c r="C69" s="24" t="s">
        <v>85</v>
      </c>
      <c r="D69" s="198">
        <f>SUM('3. sz. mell'!D60)</f>
        <v>0</v>
      </c>
      <c r="E69" s="964">
        <f>SUM('3. sz. mell'!E60)</f>
        <v>0</v>
      </c>
      <c r="F69" s="957">
        <f>SUM('3. sz. mell'!F60)</f>
        <v>0</v>
      </c>
      <c r="G69" s="198" t="e">
        <f t="shared" si="2"/>
        <v>#DIV/0!</v>
      </c>
      <c r="K69" s="201"/>
    </row>
    <row r="70" spans="1:11" s="187" customFormat="1" ht="28.5" x14ac:dyDescent="0.25">
      <c r="A70" s="212" t="s">
        <v>99</v>
      </c>
      <c r="B70" s="213"/>
      <c r="C70" s="12" t="s">
        <v>1931</v>
      </c>
      <c r="D70" s="112">
        <f>+D71+D72</f>
        <v>0</v>
      </c>
      <c r="E70" s="110">
        <f>+E71+E72</f>
        <v>0</v>
      </c>
      <c r="F70" s="210">
        <f>+F71+F72</f>
        <v>0</v>
      </c>
      <c r="G70" s="112">
        <f>+G71+G72</f>
        <v>0</v>
      </c>
      <c r="K70" s="201"/>
    </row>
    <row r="71" spans="1:11" s="187" customFormat="1" ht="15" customHeight="1" x14ac:dyDescent="0.2">
      <c r="A71" s="214"/>
      <c r="B71" s="215" t="s">
        <v>1928</v>
      </c>
      <c r="C71" s="186" t="s">
        <v>277</v>
      </c>
      <c r="D71" s="98"/>
      <c r="E71" s="97">
        <f>'3. sz. mell'!E62</f>
        <v>0</v>
      </c>
      <c r="F71" s="958">
        <f>'3. sz. mell'!F62</f>
        <v>0</v>
      </c>
      <c r="G71" s="98"/>
      <c r="I71" s="216" t="s">
        <v>278</v>
      </c>
      <c r="J71" s="162" t="s">
        <v>279</v>
      </c>
      <c r="K71" s="162" t="s">
        <v>280</v>
      </c>
    </row>
    <row r="72" spans="1:11" s="187" customFormat="1" ht="15" customHeight="1" thickBot="1" x14ac:dyDescent="0.25">
      <c r="A72" s="217"/>
      <c r="B72" s="218" t="s">
        <v>1929</v>
      </c>
      <c r="C72" s="219" t="s">
        <v>281</v>
      </c>
      <c r="D72" s="107"/>
      <c r="E72" s="106">
        <f>'3. sz. mell'!E63</f>
        <v>0</v>
      </c>
      <c r="F72" s="956">
        <f>'3. sz. mell'!F63</f>
        <v>0</v>
      </c>
      <c r="G72" s="107"/>
      <c r="K72" s="201"/>
    </row>
    <row r="73" spans="1:11" s="232" customFormat="1" ht="15" customHeight="1" thickBot="1" x14ac:dyDescent="0.25">
      <c r="A73" s="180"/>
      <c r="B73" s="240"/>
      <c r="C73" s="12" t="s">
        <v>1932</v>
      </c>
      <c r="D73" s="112">
        <f>SUM(D68)</f>
        <v>0</v>
      </c>
      <c r="E73" s="110">
        <f>E63+E47</f>
        <v>0</v>
      </c>
      <c r="F73" s="210" t="e">
        <f>F63+F47</f>
        <v>#REF!</v>
      </c>
      <c r="G73" s="112" t="e">
        <f t="shared" si="2"/>
        <v>#REF!</v>
      </c>
    </row>
    <row r="74" spans="1:11" s="187" customFormat="1" ht="15" customHeight="1" thickBot="1" x14ac:dyDescent="0.3">
      <c r="A74" s="212"/>
      <c r="B74" s="213"/>
      <c r="C74" s="12" t="s">
        <v>1933</v>
      </c>
      <c r="D74" s="220"/>
      <c r="E74" s="969">
        <f>'3.1.asz.melléklet'!F150</f>
        <v>0</v>
      </c>
      <c r="F74" s="263" t="e">
        <f>'3. sz. mell'!F64+'4. sz. mell.'!F29+'5. sz. mell. '!F41</f>
        <v>#REF!</v>
      </c>
      <c r="G74" s="220"/>
    </row>
    <row r="75" spans="1:11" s="187" customFormat="1" ht="21.75" customHeight="1" thickBot="1" x14ac:dyDescent="0.3">
      <c r="A75" s="212" t="s">
        <v>100</v>
      </c>
      <c r="B75" s="223"/>
      <c r="C75" s="224" t="s">
        <v>1426</v>
      </c>
      <c r="D75" s="210">
        <f>+D52+D67+D70</f>
        <v>3273191</v>
      </c>
      <c r="E75" s="970">
        <f>E52+E67+E70-E73+E74+E63</f>
        <v>0</v>
      </c>
      <c r="F75" s="210" t="e">
        <f>F52+F67+F70-F73+F74+F63</f>
        <v>#REF!</v>
      </c>
      <c r="G75" s="210" t="e">
        <f>F75/E75*100</f>
        <v>#REF!</v>
      </c>
      <c r="I75" s="201">
        <f>SUM('3. sz. mell'!D65+'4. sz. mell.'!D30+'5. sz. mell. '!D42)</f>
        <v>4585768</v>
      </c>
      <c r="J75" s="201">
        <v>4234368</v>
      </c>
      <c r="K75" s="201">
        <f>SUM(D75-J75)</f>
        <v>-961177</v>
      </c>
    </row>
    <row r="76" spans="1:11" s="187" customFormat="1" ht="18.75" customHeight="1" x14ac:dyDescent="0.2">
      <c r="A76" s="225"/>
      <c r="B76" s="226"/>
      <c r="C76" s="227" t="s">
        <v>199</v>
      </c>
      <c r="D76" s="228"/>
      <c r="E76" s="972"/>
      <c r="F76" s="228"/>
      <c r="G76" s="228"/>
    </row>
    <row r="77" spans="1:11" ht="15" customHeight="1" x14ac:dyDescent="0.2">
      <c r="A77" s="180" t="s">
        <v>5</v>
      </c>
      <c r="B77" s="12"/>
      <c r="C77" s="67" t="s">
        <v>102</v>
      </c>
      <c r="D77" s="112">
        <f>SUM(D78:D81)+D82</f>
        <v>2703654</v>
      </c>
      <c r="E77" s="110">
        <f>SUM(E78:E81)</f>
        <v>0</v>
      </c>
      <c r="F77" s="210" t="e">
        <f>SUM(F78:F81)</f>
        <v>#REF!</v>
      </c>
      <c r="G77" s="112" t="e">
        <f t="shared" ref="G77:G84" si="3">F77/E77*100</f>
        <v>#REF!</v>
      </c>
      <c r="I77" s="229">
        <f>SUM(I75-D75)</f>
        <v>1312577</v>
      </c>
      <c r="K77" s="230">
        <f>SUM(I77+K75)</f>
        <v>351400</v>
      </c>
    </row>
    <row r="78" spans="1:11" s="175" customFormat="1" ht="16.5" customHeight="1" x14ac:dyDescent="0.2">
      <c r="A78" s="204"/>
      <c r="B78" s="231" t="s">
        <v>103</v>
      </c>
      <c r="C78" s="27" t="s">
        <v>104</v>
      </c>
      <c r="D78" s="98">
        <f>SUM('3. sz. mell'!D69+'4. sz. mell.'!D34+'5. sz. mell. '!D46)</f>
        <v>904670</v>
      </c>
      <c r="E78" s="97">
        <f>SUM('3. sz. mell'!E69+'4. sz. mell.'!E34+'5. sz. mell. '!E46)</f>
        <v>0</v>
      </c>
      <c r="F78" s="958" t="e">
        <f>SUM('3. sz. mell'!F69+'4. sz. mell.'!F34+'5. sz. mell. '!F46)</f>
        <v>#REF!</v>
      </c>
      <c r="G78" s="98" t="e">
        <f t="shared" si="3"/>
        <v>#REF!</v>
      </c>
    </row>
    <row r="79" spans="1:11" s="232" customFormat="1" ht="21" customHeight="1" x14ac:dyDescent="0.2">
      <c r="A79" s="184"/>
      <c r="B79" s="200" t="s">
        <v>105</v>
      </c>
      <c r="C79" s="15" t="s">
        <v>106</v>
      </c>
      <c r="D79" s="103">
        <f>SUM('3. sz. mell'!D70+'4. sz. mell.'!D35+'5. sz. mell. '!D48)</f>
        <v>250657</v>
      </c>
      <c r="E79" s="101">
        <f>SUM('3. sz. mell'!E70+'4. sz. mell.'!E35+'5. sz. mell. '!E48)</f>
        <v>0</v>
      </c>
      <c r="F79" s="954" t="e">
        <f>SUM('3. sz. mell'!F70+'4. sz. mell.'!F35+'5. sz. mell. '!F48)</f>
        <v>#REF!</v>
      </c>
      <c r="G79" s="103" t="e">
        <f t="shared" si="3"/>
        <v>#REF!</v>
      </c>
    </row>
    <row r="80" spans="1:11" ht="15" customHeight="1" x14ac:dyDescent="0.2">
      <c r="A80" s="184"/>
      <c r="B80" s="200" t="s">
        <v>107</v>
      </c>
      <c r="C80" s="15" t="s">
        <v>108</v>
      </c>
      <c r="D80" s="103">
        <f>SUM('3. sz. mell'!D71+'4. sz. mell.'!D36+'5. sz. mell. '!D50)</f>
        <v>1364695</v>
      </c>
      <c r="E80" s="101">
        <f>SUM('3. sz. mell'!E71+'4. sz. mell.'!E36+'5. sz. mell. '!E50+'3. sz. mell'!E91)</f>
        <v>0</v>
      </c>
      <c r="F80" s="101" t="e">
        <f>SUM('3. sz. mell'!F71+'4. sz. mell.'!F36+'5. sz. mell. '!F50+'3. sz. mell'!F91)</f>
        <v>#REF!</v>
      </c>
      <c r="G80" s="103" t="e">
        <f t="shared" si="3"/>
        <v>#REF!</v>
      </c>
    </row>
    <row r="81" spans="1:10" ht="15" customHeight="1" x14ac:dyDescent="0.2">
      <c r="A81" s="184"/>
      <c r="B81" s="200" t="s">
        <v>939</v>
      </c>
      <c r="C81" s="15" t="s">
        <v>112</v>
      </c>
      <c r="D81" s="103">
        <f>SUM(D83+D84)</f>
        <v>143632</v>
      </c>
      <c r="E81" s="101">
        <f>SUM(E82+E83+E84+E93)</f>
        <v>0</v>
      </c>
      <c r="F81" s="954" t="e">
        <f>SUM(F82+F83+F84+F93)</f>
        <v>#REF!</v>
      </c>
      <c r="G81" s="103" t="e">
        <f t="shared" si="3"/>
        <v>#REF!</v>
      </c>
    </row>
    <row r="82" spans="1:10" ht="15" customHeight="1" x14ac:dyDescent="0.2">
      <c r="A82" s="184"/>
      <c r="B82" s="200" t="s">
        <v>437</v>
      </c>
      <c r="C82" s="15" t="s">
        <v>110</v>
      </c>
      <c r="D82" s="103">
        <f>SUM('3. sz. mell'!D72+'4. sz. mell.'!D37)</f>
        <v>40000</v>
      </c>
      <c r="E82" s="101">
        <f>SUM('3. sz. mell'!E72+'4. sz. mell.'!E37)</f>
        <v>0</v>
      </c>
      <c r="F82" s="954">
        <f>SUM('3. sz. mell'!F72+'4. sz. mell.'!F37)</f>
        <v>0</v>
      </c>
      <c r="G82" s="103" t="e">
        <f t="shared" si="3"/>
        <v>#DIV/0!</v>
      </c>
    </row>
    <row r="83" spans="1:10" ht="15" customHeight="1" x14ac:dyDescent="0.2">
      <c r="A83" s="184"/>
      <c r="B83" s="200" t="s">
        <v>1395</v>
      </c>
      <c r="C83" s="15" t="s">
        <v>114</v>
      </c>
      <c r="D83" s="103">
        <f>SUM('4. sz. mell.'!D38+'5. sz. mell. '!D53)</f>
        <v>9986</v>
      </c>
      <c r="E83" s="101">
        <f>SUM('5. sz. mell. '!E53+'3. sz. mell'!E78)</f>
        <v>0</v>
      </c>
      <c r="F83" s="954">
        <f>SUM('5. sz. mell. '!F53+'3. sz. mell'!F78)</f>
        <v>0</v>
      </c>
      <c r="G83" s="103" t="e">
        <f t="shared" si="3"/>
        <v>#DIV/0!</v>
      </c>
    </row>
    <row r="84" spans="1:10" ht="15" customHeight="1" x14ac:dyDescent="0.2">
      <c r="A84" s="184"/>
      <c r="B84" s="200" t="s">
        <v>556</v>
      </c>
      <c r="C84" s="15" t="s">
        <v>116</v>
      </c>
      <c r="D84" s="103">
        <f>SUM(D85:D92)</f>
        <v>133646</v>
      </c>
      <c r="E84" s="101">
        <f>SUM(E85:E92)</f>
        <v>0</v>
      </c>
      <c r="F84" s="954">
        <f>SUM(F85:F92)</f>
        <v>0</v>
      </c>
      <c r="G84" s="103" t="e">
        <f t="shared" si="3"/>
        <v>#DIV/0!</v>
      </c>
      <c r="J84" s="87"/>
    </row>
    <row r="85" spans="1:10" ht="15" customHeight="1" x14ac:dyDescent="0.25">
      <c r="A85" s="184"/>
      <c r="B85" s="200" t="s">
        <v>1396</v>
      </c>
      <c r="C85" s="233" t="s">
        <v>1405</v>
      </c>
      <c r="D85" s="103">
        <f>SUM('3. sz. mell'!D74)</f>
        <v>0</v>
      </c>
      <c r="E85" s="101">
        <f>SUM('3. sz. mell'!E74)</f>
        <v>0</v>
      </c>
      <c r="F85" s="954">
        <f>SUM('3. sz. mell'!F74)</f>
        <v>0</v>
      </c>
      <c r="G85" s="103"/>
    </row>
    <row r="86" spans="1:10" ht="15" customHeight="1" x14ac:dyDescent="0.25">
      <c r="A86" s="184"/>
      <c r="B86" s="200" t="s">
        <v>1397</v>
      </c>
      <c r="C86" s="233" t="s">
        <v>1406</v>
      </c>
      <c r="D86" s="103">
        <f>SUM('3. sz. mell'!D75)</f>
        <v>0</v>
      </c>
      <c r="E86" s="101">
        <v>0</v>
      </c>
      <c r="F86" s="954">
        <v>0</v>
      </c>
      <c r="G86" s="103"/>
    </row>
    <row r="87" spans="1:10" ht="15" customHeight="1" x14ac:dyDescent="0.25">
      <c r="A87" s="184"/>
      <c r="B87" s="200" t="s">
        <v>1398</v>
      </c>
      <c r="C87" s="233" t="s">
        <v>1407</v>
      </c>
      <c r="D87" s="103">
        <f>SUM('3. sz. mell'!D76)</f>
        <v>0</v>
      </c>
      <c r="E87" s="101">
        <f>SUM('3. sz. mell'!E76)</f>
        <v>0</v>
      </c>
      <c r="F87" s="954">
        <v>0</v>
      </c>
      <c r="G87" s="103"/>
    </row>
    <row r="88" spans="1:10" ht="15" customHeight="1" x14ac:dyDescent="0.25">
      <c r="A88" s="184"/>
      <c r="B88" s="200" t="s">
        <v>1399</v>
      </c>
      <c r="C88" s="233" t="s">
        <v>1408</v>
      </c>
      <c r="D88" s="103">
        <f>SUM('3. sz. mell'!D77)</f>
        <v>101646</v>
      </c>
      <c r="E88" s="101">
        <f>SUM('3. sz. mell'!E77+'4.1 sz. mell'!E38)</f>
        <v>0</v>
      </c>
      <c r="F88" s="954">
        <f>SUM('3. sz. mell'!F77+'4.1 sz. mell'!F38)</f>
        <v>0</v>
      </c>
      <c r="G88" s="103" t="e">
        <f>F88/E88*100</f>
        <v>#DIV/0!</v>
      </c>
    </row>
    <row r="89" spans="1:10" ht="15" customHeight="1" x14ac:dyDescent="0.25">
      <c r="A89" s="184"/>
      <c r="B89" s="200" t="s">
        <v>1400</v>
      </c>
      <c r="C89" s="233" t="s">
        <v>1409</v>
      </c>
      <c r="D89" s="103">
        <f>SUM('3. sz. mell'!D78)</f>
        <v>0</v>
      </c>
      <c r="E89" s="101"/>
      <c r="F89" s="954"/>
      <c r="G89" s="103"/>
    </row>
    <row r="90" spans="1:10" ht="15" customHeight="1" x14ac:dyDescent="0.25">
      <c r="A90" s="184"/>
      <c r="B90" s="200" t="s">
        <v>1401</v>
      </c>
      <c r="C90" s="233" t="s">
        <v>1410</v>
      </c>
      <c r="D90" s="103">
        <f>SUM('3. sz. mell'!D79)</f>
        <v>0</v>
      </c>
      <c r="E90" s="101">
        <f>SUM('3. sz. mell'!E79)</f>
        <v>0</v>
      </c>
      <c r="F90" s="954">
        <f>SUM('3. sz. mell'!F79)</f>
        <v>0</v>
      </c>
      <c r="G90" s="103"/>
    </row>
    <row r="91" spans="1:10" ht="15" customHeight="1" x14ac:dyDescent="0.25">
      <c r="A91" s="184"/>
      <c r="B91" s="200" t="s">
        <v>1402</v>
      </c>
      <c r="C91" s="233" t="s">
        <v>1411</v>
      </c>
      <c r="D91" s="103">
        <f>SUM('3. sz. mell'!D80)</f>
        <v>32000</v>
      </c>
      <c r="E91" s="101"/>
      <c r="F91" s="954"/>
      <c r="G91" s="103"/>
    </row>
    <row r="92" spans="1:10" ht="15" customHeight="1" x14ac:dyDescent="0.25">
      <c r="A92" s="194"/>
      <c r="B92" s="218" t="s">
        <v>1403</v>
      </c>
      <c r="C92" s="233" t="s">
        <v>1412</v>
      </c>
      <c r="D92" s="107">
        <f>SUM('3. sz. mell'!D81)</f>
        <v>0</v>
      </c>
      <c r="E92" s="106">
        <f>SUM('3. sz. mell'!E81)</f>
        <v>0</v>
      </c>
      <c r="F92" s="956">
        <f>SUM('3. sz. mell'!F81)</f>
        <v>0</v>
      </c>
      <c r="G92" s="107"/>
    </row>
    <row r="93" spans="1:10" ht="15" customHeight="1" x14ac:dyDescent="0.2">
      <c r="A93" s="184"/>
      <c r="B93" s="200" t="s">
        <v>1404</v>
      </c>
      <c r="C93" s="15" t="s">
        <v>1383</v>
      </c>
      <c r="D93" s="103">
        <f>SUM('3. sz. mell'!D81)</f>
        <v>0</v>
      </c>
      <c r="E93" s="101">
        <f>SUM('3. sz. mell'!E101)</f>
        <v>0</v>
      </c>
      <c r="F93" s="954" t="e">
        <f>SUM('3. sz. mell'!F101)</f>
        <v>#REF!</v>
      </c>
      <c r="G93" s="103" t="e">
        <f>F93/E93*100</f>
        <v>#REF!</v>
      </c>
    </row>
    <row r="94" spans="1:10" ht="15" customHeight="1" thickBot="1" x14ac:dyDescent="0.25">
      <c r="A94" s="188"/>
      <c r="B94" s="234" t="s">
        <v>454</v>
      </c>
      <c r="C94" s="235"/>
      <c r="E94" s="962">
        <v>0</v>
      </c>
      <c r="F94" s="955">
        <f>SUM('3.2.sz.melléklet'!G114)</f>
        <v>0</v>
      </c>
      <c r="G94" s="191"/>
    </row>
    <row r="95" spans="1:10" ht="15" customHeight="1" thickBot="1" x14ac:dyDescent="0.25">
      <c r="A95" s="180" t="s">
        <v>6</v>
      </c>
      <c r="B95" s="12"/>
      <c r="C95" s="67" t="s">
        <v>151</v>
      </c>
      <c r="D95" s="112">
        <f>+D96+D98+D97</f>
        <v>258605</v>
      </c>
      <c r="E95" s="110" t="e">
        <f>+E96+E98+E97</f>
        <v>#REF!</v>
      </c>
      <c r="F95" s="210">
        <f>+F96+F98</f>
        <v>0</v>
      </c>
      <c r="G95" s="112" t="e">
        <f t="shared" ref="G95:G100" si="4">F95/E95*100</f>
        <v>#REF!</v>
      </c>
    </row>
    <row r="96" spans="1:10" ht="15" customHeight="1" x14ac:dyDescent="0.2">
      <c r="A96" s="204"/>
      <c r="B96" s="231" t="s">
        <v>7</v>
      </c>
      <c r="C96" s="27" t="s">
        <v>153</v>
      </c>
      <c r="D96" s="98">
        <f>SUM('3. sz. mell'!D98)</f>
        <v>20000</v>
      </c>
      <c r="E96" s="97">
        <f>SUM('3. sz. mell'!E98)</f>
        <v>0</v>
      </c>
      <c r="F96" s="958">
        <f>SUM('3. sz. mell'!F98)</f>
        <v>0</v>
      </c>
      <c r="G96" s="98" t="e">
        <f t="shared" si="4"/>
        <v>#DIV/0!</v>
      </c>
    </row>
    <row r="97" spans="1:17" ht="15" customHeight="1" thickBot="1" x14ac:dyDescent="0.25">
      <c r="A97" s="202"/>
      <c r="B97" s="203" t="s">
        <v>9</v>
      </c>
      <c r="C97" s="239" t="s">
        <v>155</v>
      </c>
      <c r="D97" s="191">
        <f>SUM('3.2.sz.melléklet'!E114)</f>
        <v>143605</v>
      </c>
      <c r="E97" s="964" t="e">
        <f>SUM('3. sz. mell'!E99)</f>
        <v>#REF!</v>
      </c>
      <c r="F97" s="957">
        <f>SUM('3. sz. mell'!F82)</f>
        <v>0</v>
      </c>
      <c r="G97" s="198" t="e">
        <f t="shared" si="4"/>
        <v>#REF!</v>
      </c>
    </row>
    <row r="98" spans="1:17" s="232" customFormat="1" ht="15" customHeight="1" thickBot="1" x14ac:dyDescent="0.25">
      <c r="A98" s="194"/>
      <c r="B98" s="218" t="s">
        <v>11</v>
      </c>
      <c r="C98" s="84" t="s">
        <v>157</v>
      </c>
      <c r="D98" s="107">
        <f>SUM('3. sz. mell'!D100)</f>
        <v>95000</v>
      </c>
      <c r="E98" s="106" t="e">
        <f>SUM('3. sz. mell'!E100)</f>
        <v>#REF!</v>
      </c>
      <c r="F98" s="956">
        <f>SUM('3. sz. mell'!F100)</f>
        <v>0</v>
      </c>
      <c r="G98" s="107" t="e">
        <f t="shared" si="4"/>
        <v>#REF!</v>
      </c>
    </row>
    <row r="99" spans="1:17" ht="15" customHeight="1" thickBot="1" x14ac:dyDescent="0.25">
      <c r="A99" s="180" t="s">
        <v>20</v>
      </c>
      <c r="B99" s="12"/>
      <c r="C99" s="67" t="s">
        <v>110</v>
      </c>
      <c r="D99" s="112"/>
      <c r="E99" s="110">
        <f>'4. sz. mell.'!E40</f>
        <v>0</v>
      </c>
      <c r="F99" s="210">
        <f>'4. sz. mell.'!F40</f>
        <v>0</v>
      </c>
      <c r="G99" s="112" t="e">
        <f t="shared" si="4"/>
        <v>#DIV/0!</v>
      </c>
    </row>
    <row r="100" spans="1:17" ht="15" customHeight="1" thickBot="1" x14ac:dyDescent="0.25">
      <c r="A100" s="1580" t="s">
        <v>1419</v>
      </c>
      <c r="B100" s="1581"/>
      <c r="C100" s="1582"/>
      <c r="D100" s="112">
        <f>SUM(D77+D97)+D96</f>
        <v>2867259</v>
      </c>
      <c r="E100" s="110" t="e">
        <f>SUM(E77+E97)+E99</f>
        <v>#REF!</v>
      </c>
      <c r="F100" s="210" t="e">
        <f>SUM(F77+F97)+F99</f>
        <v>#REF!</v>
      </c>
      <c r="G100" s="112" t="e">
        <f t="shared" si="4"/>
        <v>#REF!</v>
      </c>
      <c r="O100" s="87" t="e">
        <f>SUM(E100-E93)</f>
        <v>#REF!</v>
      </c>
      <c r="P100" s="87"/>
      <c r="Q100" s="993"/>
    </row>
    <row r="101" spans="1:17" ht="15" customHeight="1" thickBot="1" x14ac:dyDescent="0.25">
      <c r="A101" s="180" t="s">
        <v>150</v>
      </c>
      <c r="B101" s="12"/>
      <c r="C101" s="67" t="s">
        <v>133</v>
      </c>
      <c r="D101" s="112">
        <f>SUM(D102:D108)+D98</f>
        <v>341932</v>
      </c>
      <c r="E101" s="110" t="e">
        <f>SUM(E102:E108)</f>
        <v>#REF!</v>
      </c>
      <c r="F101" s="110" t="e">
        <f>SUM(F102:F108)</f>
        <v>#REF!</v>
      </c>
      <c r="G101" s="112" t="e">
        <f>F101/E101*100</f>
        <v>#REF!</v>
      </c>
      <c r="Q101" s="993"/>
    </row>
    <row r="102" spans="1:17" ht="15" customHeight="1" x14ac:dyDescent="0.2">
      <c r="A102" s="204"/>
      <c r="B102" s="231" t="s">
        <v>287</v>
      </c>
      <c r="C102" s="27" t="s">
        <v>134</v>
      </c>
      <c r="D102" s="98">
        <v>116000</v>
      </c>
      <c r="E102" s="97" t="e">
        <f>SUM('3. sz. mell'!E84+'4. sz. mell.'!E42+'5. sz. mell. '!E55)</f>
        <v>#REF!</v>
      </c>
      <c r="F102" s="958" t="e">
        <f>SUM('3. sz. mell'!F84+'4. sz. mell.'!F42+'5. sz. mell. '!F55)</f>
        <v>#REF!</v>
      </c>
      <c r="G102" s="98" t="e">
        <f>F102/E102*100</f>
        <v>#REF!</v>
      </c>
      <c r="I102" s="87" t="e">
        <f>SUM(E102:E103)</f>
        <v>#REF!</v>
      </c>
      <c r="J102" s="87" t="e">
        <f>SUM(F102:F103)</f>
        <v>#REF!</v>
      </c>
      <c r="K102" s="944" t="e">
        <f>J102/I102*100</f>
        <v>#REF!</v>
      </c>
      <c r="O102" s="87" t="e">
        <f>SUM(E102:E103)</f>
        <v>#REF!</v>
      </c>
      <c r="P102" s="87"/>
      <c r="Q102" s="993"/>
    </row>
    <row r="103" spans="1:17" ht="15" customHeight="1" x14ac:dyDescent="0.2">
      <c r="A103" s="184"/>
      <c r="B103" s="200" t="s">
        <v>1415</v>
      </c>
      <c r="C103" s="15" t="s">
        <v>135</v>
      </c>
      <c r="D103" s="98">
        <v>25000</v>
      </c>
      <c r="E103" s="97" t="e">
        <f>SUM('3. sz. mell'!E85+'4. sz. mell.'!E43+'5. sz. mell. '!E56)</f>
        <v>#REF!</v>
      </c>
      <c r="F103" s="958" t="e">
        <f>SUM('3. sz. mell'!F85+'4. sz. mell.'!F43+'5. sz. mell. '!F56)</f>
        <v>#REF!</v>
      </c>
      <c r="G103" s="98" t="e">
        <f>F103/E103*100</f>
        <v>#REF!</v>
      </c>
    </row>
    <row r="104" spans="1:17" s="232" customFormat="1" ht="15" customHeight="1" x14ac:dyDescent="0.2">
      <c r="A104" s="184"/>
      <c r="B104" s="200" t="s">
        <v>156</v>
      </c>
      <c r="C104" s="15" t="s">
        <v>136</v>
      </c>
      <c r="D104" s="103"/>
      <c r="E104" s="101"/>
      <c r="F104" s="954"/>
      <c r="G104" s="103"/>
    </row>
    <row r="105" spans="1:17" ht="15" customHeight="1" x14ac:dyDescent="0.2">
      <c r="A105" s="184"/>
      <c r="B105" s="200" t="s">
        <v>1413</v>
      </c>
      <c r="C105" s="15" t="s">
        <v>137</v>
      </c>
      <c r="D105" s="103"/>
      <c r="E105" s="101"/>
      <c r="F105" s="954"/>
      <c r="G105" s="103"/>
    </row>
    <row r="106" spans="1:17" ht="31.5" customHeight="1" x14ac:dyDescent="0.2">
      <c r="A106" s="184"/>
      <c r="B106" s="200" t="s">
        <v>1095</v>
      </c>
      <c r="C106" s="15" t="s">
        <v>138</v>
      </c>
      <c r="D106" s="103"/>
      <c r="E106" s="101"/>
      <c r="F106" s="954"/>
      <c r="G106" s="103"/>
    </row>
    <row r="107" spans="1:17" ht="33" customHeight="1" x14ac:dyDescent="0.2">
      <c r="A107" s="184"/>
      <c r="B107" s="200" t="s">
        <v>1096</v>
      </c>
      <c r="C107" s="15" t="s">
        <v>286</v>
      </c>
      <c r="D107" s="103"/>
      <c r="E107" s="101"/>
      <c r="F107" s="954"/>
      <c r="G107" s="103"/>
    </row>
    <row r="108" spans="1:17" ht="15" customHeight="1" x14ac:dyDescent="0.2">
      <c r="A108" s="184"/>
      <c r="B108" s="200" t="s">
        <v>1414</v>
      </c>
      <c r="C108" s="15" t="s">
        <v>140</v>
      </c>
      <c r="D108" s="103">
        <f>SUM('3. sz. mell'!D90+'4. sz. mell.'!D45+'5. sz. mell. '!D58)</f>
        <v>105932</v>
      </c>
      <c r="E108" s="101">
        <f>SUM(E109:E110)</f>
        <v>0</v>
      </c>
      <c r="F108" s="954">
        <f>SUM(F109:F110)</f>
        <v>0</v>
      </c>
      <c r="G108" s="103" t="e">
        <f t="shared" ref="G108:G113" si="5">F108/E108*100</f>
        <v>#DIV/0!</v>
      </c>
    </row>
    <row r="109" spans="1:17" ht="15" customHeight="1" x14ac:dyDescent="0.2">
      <c r="A109" s="184"/>
      <c r="B109" s="200" t="s">
        <v>1420</v>
      </c>
      <c r="C109" s="15" t="s">
        <v>1383</v>
      </c>
      <c r="D109" s="103"/>
      <c r="E109" s="101">
        <f>'3. sz. mell'!E94</f>
        <v>0</v>
      </c>
      <c r="F109" s="101">
        <f>'3. sz. mell'!F94</f>
        <v>0</v>
      </c>
      <c r="G109" s="103" t="e">
        <f t="shared" si="5"/>
        <v>#DIV/0!</v>
      </c>
    </row>
    <row r="110" spans="1:17" ht="15" customHeight="1" thickBot="1" x14ac:dyDescent="0.25">
      <c r="A110" s="184"/>
      <c r="B110" s="200" t="s">
        <v>1421</v>
      </c>
      <c r="C110" s="15" t="s">
        <v>144</v>
      </c>
      <c r="D110" s="103"/>
      <c r="E110" s="101">
        <f>'3. sz. mell'!E93</f>
        <v>0</v>
      </c>
      <c r="F110" s="954">
        <f>'3. sz. mell'!F93</f>
        <v>0</v>
      </c>
      <c r="G110" s="103" t="e">
        <f t="shared" si="5"/>
        <v>#DIV/0!</v>
      </c>
    </row>
    <row r="111" spans="1:17" s="232" customFormat="1" ht="15" hidden="1" customHeight="1" x14ac:dyDescent="0.25">
      <c r="A111" s="184"/>
      <c r="B111" s="200"/>
      <c r="C111" s="233"/>
      <c r="D111" s="103"/>
      <c r="E111" s="101"/>
      <c r="F111" s="954"/>
      <c r="G111" s="103" t="e">
        <f t="shared" si="5"/>
        <v>#DIV/0!</v>
      </c>
    </row>
    <row r="112" spans="1:17" ht="15" hidden="1" customHeight="1" thickBot="1" x14ac:dyDescent="0.3">
      <c r="A112" s="194"/>
      <c r="B112" s="218"/>
      <c r="C112" s="236"/>
      <c r="D112" s="107"/>
      <c r="E112" s="106"/>
      <c r="F112" s="956"/>
      <c r="G112" s="107" t="e">
        <f t="shared" si="5"/>
        <v>#DIV/0!</v>
      </c>
      <c r="O112" s="237"/>
    </row>
    <row r="113" spans="1:11" ht="15" customHeight="1" thickBot="1" x14ac:dyDescent="0.25">
      <c r="A113" s="180" t="s">
        <v>39</v>
      </c>
      <c r="B113" s="12"/>
      <c r="C113" s="67" t="s">
        <v>149</v>
      </c>
      <c r="D113" s="238"/>
      <c r="E113" s="973">
        <f>'3. sz. mell'!E96</f>
        <v>0</v>
      </c>
      <c r="F113" s="207">
        <f>'3. sz. mell'!F96</f>
        <v>0</v>
      </c>
      <c r="G113" s="238" t="e">
        <f t="shared" si="5"/>
        <v>#DIV/0!</v>
      </c>
    </row>
    <row r="114" spans="1:11" s="232" customFormat="1" ht="15" customHeight="1" thickBot="1" x14ac:dyDescent="0.25">
      <c r="A114" s="180" t="s">
        <v>49</v>
      </c>
      <c r="B114" s="240"/>
      <c r="C114" s="67" t="s">
        <v>288</v>
      </c>
      <c r="D114" s="238">
        <f>SUM('3. sz. mell'!D101)</f>
        <v>1312577</v>
      </c>
      <c r="E114" s="973"/>
      <c r="F114" s="207"/>
      <c r="G114" s="238"/>
    </row>
    <row r="115" spans="1:11" s="232" customFormat="1" ht="15" customHeight="1" thickBot="1" x14ac:dyDescent="0.25">
      <c r="A115" s="180" t="s">
        <v>179</v>
      </c>
      <c r="B115" s="12"/>
      <c r="C115" s="40" t="s">
        <v>289</v>
      </c>
      <c r="D115" s="241">
        <f>+D77+D101+D113+D95+D114-D98</f>
        <v>4521768</v>
      </c>
      <c r="E115" s="974" t="e">
        <f>+E77+E101+E113+E95+E114+E99</f>
        <v>#REF!</v>
      </c>
      <c r="F115" s="951" t="e">
        <f>+F77+F101+F113+F95+F114+F99</f>
        <v>#REF!</v>
      </c>
      <c r="G115" s="241" t="e">
        <f>F115/E115*100</f>
        <v>#REF!</v>
      </c>
      <c r="J115" s="927">
        <f>SUM(D115+D116)</f>
        <v>4585768</v>
      </c>
    </row>
    <row r="116" spans="1:11" s="232" customFormat="1" ht="28.5" x14ac:dyDescent="0.2">
      <c r="A116" s="180" t="s">
        <v>75</v>
      </c>
      <c r="B116" s="12"/>
      <c r="C116" s="67" t="s">
        <v>290</v>
      </c>
      <c r="D116" s="112">
        <f>+D117+D118</f>
        <v>64000</v>
      </c>
      <c r="E116" s="110" t="e">
        <f>+E117+E118</f>
        <v>#REF!</v>
      </c>
      <c r="F116" s="210" t="e">
        <f>+F117+F118</f>
        <v>#REF!</v>
      </c>
      <c r="G116" s="112" t="e">
        <f>F116/E116*100</f>
        <v>#REF!</v>
      </c>
    </row>
    <row r="117" spans="1:11" s="232" customFormat="1" ht="15" customHeight="1" x14ac:dyDescent="0.2">
      <c r="A117" s="204"/>
      <c r="B117" s="200" t="s">
        <v>1416</v>
      </c>
      <c r="C117" s="27" t="s">
        <v>292</v>
      </c>
      <c r="D117" s="98"/>
      <c r="E117" s="97">
        <f>'3. sz. mell'!E104</f>
        <v>0</v>
      </c>
      <c r="F117" s="958">
        <f>'3. sz. mell'!F104</f>
        <v>0</v>
      </c>
      <c r="G117" s="98"/>
    </row>
    <row r="118" spans="1:11" s="232" customFormat="1" ht="15" customHeight="1" x14ac:dyDescent="0.2">
      <c r="A118" s="194"/>
      <c r="B118" s="218" t="s">
        <v>1417</v>
      </c>
      <c r="C118" s="84" t="s">
        <v>293</v>
      </c>
      <c r="D118" s="107">
        <f>SUM('3. sz. mell'!D105)</f>
        <v>64000</v>
      </c>
      <c r="E118" s="106" t="e">
        <f>SUM('3. sz. mell'!E105)</f>
        <v>#REF!</v>
      </c>
      <c r="F118" s="956" t="e">
        <f>SUM('3. sz. mell'!F105)</f>
        <v>#REF!</v>
      </c>
      <c r="G118" s="107" t="e">
        <f>F118/E118*100</f>
        <v>#REF!</v>
      </c>
    </row>
    <row r="119" spans="1:11" s="232" customFormat="1" ht="15" customHeight="1" x14ac:dyDescent="0.2">
      <c r="A119" s="180" t="s">
        <v>207</v>
      </c>
      <c r="B119" s="240"/>
      <c r="C119" s="67" t="s">
        <v>294</v>
      </c>
      <c r="D119" s="112">
        <f>SUM(D114)</f>
        <v>1312577</v>
      </c>
      <c r="E119" s="110">
        <f>E109+E93</f>
        <v>0</v>
      </c>
      <c r="F119" s="210" t="e">
        <f>F109+F93</f>
        <v>#REF!</v>
      </c>
      <c r="G119" s="112" t="e">
        <f>F119/E119*100</f>
        <v>#REF!</v>
      </c>
    </row>
    <row r="120" spans="1:11" s="187" customFormat="1" ht="15" customHeight="1" x14ac:dyDescent="0.2">
      <c r="A120" s="180" t="s">
        <v>80</v>
      </c>
      <c r="B120" s="12"/>
      <c r="C120" s="67" t="s">
        <v>295</v>
      </c>
      <c r="D120" s="220"/>
      <c r="E120" s="969">
        <f>'3. sz. mell'!E106+'4. sz. mell.'!E47+'5. sz. mell. '!E60</f>
        <v>0</v>
      </c>
      <c r="F120" s="263" t="e">
        <f>'3. sz. mell'!F106+'4. sz. mell.'!F47+'5. sz. mell. '!F60</f>
        <v>#REF!</v>
      </c>
      <c r="G120" s="220"/>
    </row>
    <row r="121" spans="1:11" ht="15" customHeight="1" x14ac:dyDescent="0.2">
      <c r="A121" s="180" t="s">
        <v>81</v>
      </c>
      <c r="B121" s="205"/>
      <c r="C121" s="182" t="s">
        <v>1418</v>
      </c>
      <c r="D121" s="112">
        <f>+D115+D116-D119</f>
        <v>3273191</v>
      </c>
      <c r="E121" s="110" t="e">
        <f>+E115+E116-E119</f>
        <v>#REF!</v>
      </c>
      <c r="F121" s="210" t="e">
        <f>+F115+F116-F119+F120</f>
        <v>#REF!</v>
      </c>
      <c r="G121" s="112" t="e">
        <f>F121/E121*100</f>
        <v>#REF!</v>
      </c>
      <c r="I121" s="216"/>
    </row>
    <row r="122" spans="1:11" ht="15" customHeight="1" x14ac:dyDescent="0.2">
      <c r="A122" s="242"/>
      <c r="B122" s="243"/>
      <c r="C122" s="243"/>
      <c r="D122" s="243"/>
      <c r="E122" s="975"/>
      <c r="F122" s="243"/>
      <c r="G122" s="243"/>
    </row>
    <row r="123" spans="1:11" ht="15" customHeight="1" x14ac:dyDescent="0.2">
      <c r="A123" s="244" t="s">
        <v>297</v>
      </c>
      <c r="B123" s="245"/>
      <c r="C123" s="246"/>
      <c r="D123" s="247">
        <f>SUM('3. sz. mell'!D109+'4. sz. mell.'!D50+'5. sz. mell. '!D63)</f>
        <v>379</v>
      </c>
      <c r="E123" s="976">
        <f>SUM('3. sz. mell'!E109+'4. sz. mell.'!E50+'5. sz. mell. '!E63)</f>
        <v>0</v>
      </c>
      <c r="F123" s="960">
        <f>SUM('3. sz. mell'!F109+'4. sz. mell.'!F50+'5. sz. mell. '!F63)</f>
        <v>0</v>
      </c>
      <c r="G123" s="247"/>
      <c r="I123" s="248"/>
      <c r="J123" s="248"/>
      <c r="K123" s="230"/>
    </row>
    <row r="124" spans="1:11" ht="15" customHeight="1" thickBot="1" x14ac:dyDescent="0.25">
      <c r="A124" s="244" t="s">
        <v>298</v>
      </c>
      <c r="B124" s="245"/>
      <c r="C124" s="246"/>
      <c r="D124" s="247">
        <f>SUM('3. sz. mell'!D110+'4. sz. mell.'!D51+'5. sz. mell. '!D64)</f>
        <v>13.5</v>
      </c>
      <c r="E124" s="976">
        <f>SUM('3. sz. mell'!E110+'4. sz. mell.'!E51+'5. sz. mell. '!E64)</f>
        <v>0</v>
      </c>
      <c r="F124" s="960">
        <f>SUM('3. sz. mell'!F110+'4. sz. mell.'!F51+'5. sz. mell. '!F64)</f>
        <v>0</v>
      </c>
      <c r="G124" s="247"/>
      <c r="I124" s="230"/>
    </row>
    <row r="125" spans="1:11" ht="15" customHeight="1" thickBot="1" x14ac:dyDescent="0.25">
      <c r="A125" s="1578" t="s">
        <v>1889</v>
      </c>
      <c r="B125" s="1578"/>
      <c r="C125" s="1579"/>
      <c r="D125" s="247">
        <f>SUM(D123:D124)</f>
        <v>392.5</v>
      </c>
    </row>
    <row r="126" spans="1:11" ht="14.25" customHeight="1" x14ac:dyDescent="0.2">
      <c r="I126" s="249"/>
    </row>
    <row r="128" spans="1:11" ht="45" x14ac:dyDescent="0.2">
      <c r="B128" s="1050" t="s">
        <v>1490</v>
      </c>
      <c r="C128" s="1051">
        <f>SUM(D75-D121)</f>
        <v>0</v>
      </c>
    </row>
  </sheetData>
  <sheetProtection selectLockedCells="1" selectUnlockedCells="1"/>
  <mergeCells count="13">
    <mergeCell ref="A125:C125"/>
    <mergeCell ref="A43:C43"/>
    <mergeCell ref="A44:C44"/>
    <mergeCell ref="A53:C53"/>
    <mergeCell ref="A100:C100"/>
    <mergeCell ref="G1:G2"/>
    <mergeCell ref="A2:B2"/>
    <mergeCell ref="A4:B4"/>
    <mergeCell ref="A1:B1"/>
    <mergeCell ref="D3:F3"/>
    <mergeCell ref="D1:D2"/>
    <mergeCell ref="E1:E2"/>
    <mergeCell ref="F1:F2"/>
  </mergeCells>
  <printOptions horizontalCentered="1"/>
  <pageMargins left="0.39370078740157483" right="0.23622047244094491" top="1.0629921259842521" bottom="0.59055118110236227" header="0.35433070866141736" footer="0.35433070866141736"/>
  <pageSetup paperSize="9" firstPageNumber="47" orientation="portrait" useFirstPageNumber="1" r:id="rId1"/>
  <headerFooter alignWithMargins="0">
    <oddHeader>&amp;C&amp;"Times New Roman CE,Félkövér"&amp;14Vecsés Város Önkormányzat és intézményei 
2013. évi bevételei és kiadásai&amp;R&amp;"Times New Roman,Normál"&amp;12 2. sz. melléklet
Ezer Ft</oddHeader>
    <oddFooter>&amp;C- &amp;P -</oddFooter>
  </headerFooter>
  <rowBreaks count="3" manualBreakCount="3">
    <brk id="43" max="5" man="1"/>
    <brk id="75" max="5" man="1"/>
    <brk id="112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view="pageBreakPreview" topLeftCell="A22" zoomScale="120" zoomScaleNormal="130" zoomScaleSheetLayoutView="120" workbookViewId="0">
      <selection activeCell="I35" sqref="I35"/>
    </sheetView>
  </sheetViews>
  <sheetFormatPr defaultRowHeight="12.75" x14ac:dyDescent="0.2"/>
  <cols>
    <col min="1" max="1" width="6.1640625" style="161" customWidth="1"/>
    <col min="2" max="2" width="10" style="162" customWidth="1"/>
    <col min="3" max="3" width="72.33203125" style="162" customWidth="1"/>
    <col min="4" max="4" width="15" style="162" customWidth="1"/>
    <col min="5" max="5" width="15.33203125" style="162" hidden="1" customWidth="1"/>
    <col min="6" max="6" width="12.6640625" style="162" hidden="1" customWidth="1"/>
    <col min="7" max="7" width="7.83203125" style="162" hidden="1" customWidth="1"/>
    <col min="8" max="16384" width="9.33203125" style="162"/>
  </cols>
  <sheetData>
    <row r="1" spans="1:7" s="165" customFormat="1" ht="33.75" customHeight="1" x14ac:dyDescent="0.2">
      <c r="A1" s="1591" t="s">
        <v>262</v>
      </c>
      <c r="B1" s="1570"/>
      <c r="C1" s="164" t="s">
        <v>299</v>
      </c>
      <c r="D1" s="164"/>
      <c r="E1" s="164"/>
      <c r="F1" s="164"/>
      <c r="G1" s="164"/>
    </row>
    <row r="2" spans="1:7" s="165" customFormat="1" ht="33.75" customHeight="1" thickBot="1" x14ac:dyDescent="0.25">
      <c r="A2" s="1592" t="s">
        <v>264</v>
      </c>
      <c r="B2" s="1576"/>
      <c r="C2" s="164" t="s">
        <v>265</v>
      </c>
      <c r="D2" s="250"/>
      <c r="E2" s="250"/>
      <c r="F2" s="250"/>
      <c r="G2" s="250"/>
    </row>
    <row r="3" spans="1:7" s="169" customFormat="1" ht="15.95" customHeight="1" thickBot="1" x14ac:dyDescent="0.3">
      <c r="A3" s="251"/>
      <c r="B3" s="251"/>
      <c r="C3" s="251"/>
      <c r="D3" s="1590"/>
      <c r="E3" s="1590"/>
      <c r="F3" s="1590"/>
      <c r="G3" s="168" t="s">
        <v>196</v>
      </c>
    </row>
    <row r="4" spans="1:7" ht="33.75" customHeight="1" thickBot="1" x14ac:dyDescent="0.25">
      <c r="A4" s="1572" t="s">
        <v>266</v>
      </c>
      <c r="B4" s="1572"/>
      <c r="C4" s="171" t="s">
        <v>267</v>
      </c>
      <c r="D4" s="172" t="s">
        <v>268</v>
      </c>
      <c r="E4" s="172" t="s">
        <v>269</v>
      </c>
      <c r="F4" s="172" t="s">
        <v>270</v>
      </c>
      <c r="G4" s="172" t="s">
        <v>3</v>
      </c>
    </row>
    <row r="5" spans="1:7" s="175" customFormat="1" ht="15" customHeight="1" x14ac:dyDescent="0.2">
      <c r="A5" s="170">
        <v>1</v>
      </c>
      <c r="B5" s="173">
        <v>2</v>
      </c>
      <c r="C5" s="173">
        <v>3</v>
      </c>
      <c r="D5" s="174">
        <v>4</v>
      </c>
      <c r="E5" s="174">
        <v>5</v>
      </c>
      <c r="F5" s="174">
        <v>6</v>
      </c>
      <c r="G5" s="174">
        <v>7</v>
      </c>
    </row>
    <row r="6" spans="1:7" s="175" customFormat="1" ht="21" customHeight="1" x14ac:dyDescent="0.2">
      <c r="A6" s="176"/>
      <c r="B6" s="177"/>
      <c r="C6" s="178" t="s">
        <v>198</v>
      </c>
      <c r="D6" s="252"/>
      <c r="E6" s="252"/>
      <c r="F6" s="252"/>
      <c r="G6" s="252"/>
    </row>
    <row r="7" spans="1:7" s="175" customFormat="1" ht="15" customHeight="1" x14ac:dyDescent="0.2">
      <c r="A7" s="180" t="s">
        <v>5</v>
      </c>
      <c r="B7" s="253"/>
      <c r="C7" s="67" t="s">
        <v>271</v>
      </c>
      <c r="D7" s="254">
        <f>SUM(D8+D16)</f>
        <v>1702679</v>
      </c>
      <c r="E7" s="254">
        <f>SUM(E8+E16)</f>
        <v>0</v>
      </c>
      <c r="F7" s="254">
        <f>SUM(F8+F16)</f>
        <v>0</v>
      </c>
      <c r="G7" s="254" t="e">
        <f>F7/E7*100</f>
        <v>#DIV/0!</v>
      </c>
    </row>
    <row r="8" spans="1:7" s="183" customFormat="1" ht="19.5" customHeight="1" x14ac:dyDescent="0.2">
      <c r="A8" s="180" t="s">
        <v>6</v>
      </c>
      <c r="B8" s="253"/>
      <c r="C8" s="67" t="s">
        <v>1422</v>
      </c>
      <c r="D8" s="254">
        <f>SUM(D9:D14)</f>
        <v>1625000</v>
      </c>
      <c r="E8" s="254">
        <f>SUM(E9:E15)</f>
        <v>0</v>
      </c>
      <c r="F8" s="254">
        <f>SUM(F9:F15)</f>
        <v>0</v>
      </c>
      <c r="G8" s="254" t="e">
        <f t="shared" ref="G8:G73" si="0">F8/E8*100</f>
        <v>#DIV/0!</v>
      </c>
    </row>
    <row r="9" spans="1:7" s="187" customFormat="1" ht="15" customHeight="1" x14ac:dyDescent="0.2">
      <c r="A9" s="184"/>
      <c r="B9" s="185" t="s">
        <v>7</v>
      </c>
      <c r="C9" s="15" t="s">
        <v>8</v>
      </c>
      <c r="D9" s="255">
        <f>SUM('3.1.asz.melléklet'!E31+'3.1.asz.melléklet'!E32+'3.1.asz.melléklet'!E36)</f>
        <v>1515000</v>
      </c>
      <c r="E9" s="255">
        <f>SUM('3.1.asz.melléklet'!F31+'3.1.asz.melléklet'!F32+'3.1.asz.melléklet'!F36)</f>
        <v>0</v>
      </c>
      <c r="F9" s="255">
        <f>SUM('3.1.asz.melléklet'!G31+'3.1.asz.melléklet'!G32+'3.1.asz.melléklet'!G36)</f>
        <v>0</v>
      </c>
      <c r="G9" s="255" t="e">
        <f t="shared" si="0"/>
        <v>#DIV/0!</v>
      </c>
    </row>
    <row r="10" spans="1:7" s="187" customFormat="1" ht="15" customHeight="1" x14ac:dyDescent="0.2">
      <c r="A10" s="184"/>
      <c r="B10" s="185" t="s">
        <v>9</v>
      </c>
      <c r="C10" s="15" t="s">
        <v>10</v>
      </c>
      <c r="D10" s="255"/>
      <c r="E10" s="255"/>
      <c r="F10" s="255"/>
      <c r="G10" s="255"/>
    </row>
    <row r="11" spans="1:7" s="187" customFormat="1" ht="15" customHeight="1" x14ac:dyDescent="0.2">
      <c r="A11" s="184"/>
      <c r="B11" s="185" t="s">
        <v>11</v>
      </c>
      <c r="C11" s="15" t="s">
        <v>12</v>
      </c>
      <c r="D11" s="255">
        <f>SUM('3.1.asz.melléklet'!E37)</f>
        <v>100000</v>
      </c>
      <c r="E11" s="255">
        <f>SUM('3.1.asz.melléklet'!F37)</f>
        <v>0</v>
      </c>
      <c r="F11" s="255">
        <f>SUM('3.1.asz.melléklet'!G37)</f>
        <v>0</v>
      </c>
      <c r="G11" s="255" t="e">
        <f t="shared" si="0"/>
        <v>#DIV/0!</v>
      </c>
    </row>
    <row r="12" spans="1:7" s="187" customFormat="1" ht="15" customHeight="1" x14ac:dyDescent="0.2">
      <c r="A12" s="184"/>
      <c r="B12" s="185" t="s">
        <v>13</v>
      </c>
      <c r="C12" s="15" t="s">
        <v>14</v>
      </c>
      <c r="D12" s="255">
        <f>SUM('3.1.asz.melléklet'!E35)</f>
        <v>10000</v>
      </c>
      <c r="E12" s="255">
        <f>SUM('3.1.asz.melléklet'!F35)</f>
        <v>0</v>
      </c>
      <c r="F12" s="255">
        <f>SUM('3.1.asz.melléklet'!G35)</f>
        <v>0</v>
      </c>
      <c r="G12" s="255" t="e">
        <f t="shared" si="0"/>
        <v>#DIV/0!</v>
      </c>
    </row>
    <row r="13" spans="1:7" s="187" customFormat="1" ht="15" customHeight="1" x14ac:dyDescent="0.2">
      <c r="A13" s="184"/>
      <c r="B13" s="185" t="s">
        <v>15</v>
      </c>
      <c r="C13" s="15" t="s">
        <v>272</v>
      </c>
      <c r="D13" s="255"/>
      <c r="E13" s="255"/>
      <c r="F13" s="255"/>
      <c r="G13" s="255"/>
    </row>
    <row r="14" spans="1:7" s="187" customFormat="1" ht="15" customHeight="1" x14ac:dyDescent="0.2">
      <c r="A14" s="184"/>
      <c r="B14" s="185" t="s">
        <v>17</v>
      </c>
      <c r="C14" s="15" t="s">
        <v>18</v>
      </c>
      <c r="D14" s="255"/>
      <c r="E14" s="255"/>
      <c r="F14" s="255"/>
      <c r="G14" s="255"/>
    </row>
    <row r="15" spans="1:7" s="187" customFormat="1" ht="15" customHeight="1" x14ac:dyDescent="0.2">
      <c r="A15" s="188"/>
      <c r="B15" s="185" t="s">
        <v>19</v>
      </c>
      <c r="C15" s="22" t="s">
        <v>273</v>
      </c>
      <c r="D15" s="256"/>
      <c r="E15" s="256">
        <f>'3.1.asz.melléklet'!F46</f>
        <v>0</v>
      </c>
      <c r="F15" s="256">
        <f>'3.1.asz.melléklet'!G46</f>
        <v>0</v>
      </c>
      <c r="G15" s="255"/>
    </row>
    <row r="16" spans="1:7" s="183" customFormat="1" ht="15" customHeight="1" x14ac:dyDescent="0.2">
      <c r="A16" s="180" t="s">
        <v>20</v>
      </c>
      <c r="B16" s="181"/>
      <c r="C16" s="67" t="s">
        <v>300</v>
      </c>
      <c r="D16" s="254">
        <f>SUM(D17:D24)</f>
        <v>77679</v>
      </c>
      <c r="E16" s="254">
        <f>SUM(E17:E24)</f>
        <v>0</v>
      </c>
      <c r="F16" s="254">
        <f>SUM(F17:F24)</f>
        <v>0</v>
      </c>
      <c r="G16" s="254" t="e">
        <f t="shared" si="0"/>
        <v>#DIV/0!</v>
      </c>
    </row>
    <row r="17" spans="1:7" s="183" customFormat="1" ht="15" customHeight="1" x14ac:dyDescent="0.2">
      <c r="A17" s="192"/>
      <c r="B17" s="185" t="s">
        <v>22</v>
      </c>
      <c r="C17" s="15" t="s">
        <v>23</v>
      </c>
      <c r="D17" s="257"/>
      <c r="E17" s="257"/>
      <c r="F17" s="257"/>
      <c r="G17" s="257"/>
    </row>
    <row r="18" spans="1:7" s="183" customFormat="1" ht="15" customHeight="1" x14ac:dyDescent="0.2">
      <c r="A18" s="184"/>
      <c r="B18" s="185" t="s">
        <v>24</v>
      </c>
      <c r="C18" s="15" t="s">
        <v>25</v>
      </c>
      <c r="D18" s="255">
        <f>SUM('3.1.asz.melléklet'!E7)</f>
        <v>15400</v>
      </c>
      <c r="E18" s="255">
        <f>SUM('3.1.asz.melléklet'!F7)-'3.1.asz.melléklet'!F13+'3.1.asz.melléklet'!F28</f>
        <v>0</v>
      </c>
      <c r="F18" s="255">
        <f>SUM('3.1.asz.melléklet'!G7)-'3.1.asz.melléklet'!G13+'3.1.asz.melléklet'!G28</f>
        <v>0</v>
      </c>
      <c r="G18" s="255" t="e">
        <f t="shared" si="0"/>
        <v>#DIV/0!</v>
      </c>
    </row>
    <row r="19" spans="1:7" s="183" customFormat="1" ht="15" customHeight="1" x14ac:dyDescent="0.2">
      <c r="A19" s="184"/>
      <c r="B19" s="185" t="s">
        <v>26</v>
      </c>
      <c r="C19" s="15" t="s">
        <v>27</v>
      </c>
      <c r="D19" s="255">
        <f>SUM('3.1.asz.melléklet'!E15)</f>
        <v>50803</v>
      </c>
      <c r="E19" s="255">
        <f>SUM('3.1.asz.melléklet'!F15)</f>
        <v>0</v>
      </c>
      <c r="F19" s="255">
        <f>SUM('3.1.asz.melléklet'!G15)</f>
        <v>0</v>
      </c>
      <c r="G19" s="255" t="e">
        <f t="shared" si="0"/>
        <v>#DIV/0!</v>
      </c>
    </row>
    <row r="20" spans="1:7" s="183" customFormat="1" ht="15" customHeight="1" x14ac:dyDescent="0.2">
      <c r="A20" s="184"/>
      <c r="B20" s="185" t="s">
        <v>28</v>
      </c>
      <c r="C20" s="15" t="s">
        <v>29</v>
      </c>
      <c r="D20" s="255"/>
      <c r="E20" s="255"/>
      <c r="F20" s="255"/>
      <c r="G20" s="255"/>
    </row>
    <row r="21" spans="1:7" s="183" customFormat="1" ht="15" customHeight="1" x14ac:dyDescent="0.2">
      <c r="A21" s="184"/>
      <c r="B21" s="185" t="s">
        <v>30</v>
      </c>
      <c r="C21" s="15" t="s">
        <v>31</v>
      </c>
      <c r="D21" s="255"/>
      <c r="E21" s="255"/>
      <c r="F21" s="255"/>
      <c r="G21" s="255"/>
    </row>
    <row r="22" spans="1:7" s="183" customFormat="1" ht="15" customHeight="1" x14ac:dyDescent="0.2">
      <c r="A22" s="188"/>
      <c r="B22" s="185" t="s">
        <v>32</v>
      </c>
      <c r="C22" s="15" t="s">
        <v>33</v>
      </c>
      <c r="D22" s="256">
        <f>SUM('3.1.asz.melléklet'!E26)</f>
        <v>11476</v>
      </c>
      <c r="E22" s="256">
        <f>SUM('3.1.asz.melléklet'!F26)</f>
        <v>0</v>
      </c>
      <c r="F22" s="256">
        <f>SUM('3.1.asz.melléklet'!G26)</f>
        <v>0</v>
      </c>
      <c r="G22" s="256" t="e">
        <f t="shared" si="0"/>
        <v>#DIV/0!</v>
      </c>
    </row>
    <row r="23" spans="1:7" s="187" customFormat="1" ht="15" customHeight="1" x14ac:dyDescent="0.2">
      <c r="A23" s="184"/>
      <c r="B23" s="185" t="s">
        <v>34</v>
      </c>
      <c r="C23" s="15" t="s">
        <v>35</v>
      </c>
      <c r="D23" s="255">
        <f>SUM('3.1.asz.melléklet'!E25)</f>
        <v>0</v>
      </c>
      <c r="E23" s="255">
        <f>SUM('3.1.asz.melléklet'!F25)</f>
        <v>0</v>
      </c>
      <c r="F23" s="255">
        <f>SUM('3.1.asz.melléklet'!G25)</f>
        <v>0</v>
      </c>
      <c r="G23" s="255" t="e">
        <f t="shared" si="0"/>
        <v>#DIV/0!</v>
      </c>
    </row>
    <row r="24" spans="1:7" s="187" customFormat="1" ht="15" customHeight="1" thickBot="1" x14ac:dyDescent="0.25">
      <c r="A24" s="194"/>
      <c r="B24" s="195" t="s">
        <v>36</v>
      </c>
      <c r="C24" s="15" t="s">
        <v>37</v>
      </c>
      <c r="D24" s="258"/>
      <c r="E24" s="258"/>
      <c r="F24" s="258"/>
      <c r="G24" s="258"/>
    </row>
    <row r="25" spans="1:7" s="187" customFormat="1" ht="15" hidden="1" customHeight="1" x14ac:dyDescent="0.2">
      <c r="A25" s="180"/>
      <c r="B25" s="196"/>
      <c r="C25" s="67"/>
      <c r="D25" s="220"/>
      <c r="E25" s="220">
        <f>'3.1.asz.melléklet'!F13</f>
        <v>0</v>
      </c>
      <c r="F25" s="220">
        <f>'3.1.asz.melléklet'!G13</f>
        <v>0</v>
      </c>
      <c r="G25" s="254" t="e">
        <f t="shared" si="0"/>
        <v>#DIV/0!</v>
      </c>
    </row>
    <row r="26" spans="1:7" s="183" customFormat="1" ht="15" customHeight="1" thickBot="1" x14ac:dyDescent="0.25">
      <c r="A26" s="1382" t="s">
        <v>150</v>
      </c>
      <c r="B26" s="181"/>
      <c r="C26" s="67" t="s">
        <v>1934</v>
      </c>
      <c r="D26" s="254">
        <f>SUM(D27:D34)</f>
        <v>526670</v>
      </c>
      <c r="E26" s="254">
        <f>SUM(E27:E34)</f>
        <v>0</v>
      </c>
      <c r="F26" s="254">
        <f>SUM(F27:F34)</f>
        <v>0</v>
      </c>
      <c r="G26" s="254" t="e">
        <f t="shared" si="0"/>
        <v>#DIV/0!</v>
      </c>
    </row>
    <row r="27" spans="1:7" s="187" customFormat="1" ht="15" customHeight="1" x14ac:dyDescent="0.2">
      <c r="A27" s="184"/>
      <c r="B27" s="185" t="s">
        <v>152</v>
      </c>
      <c r="C27" s="15" t="s">
        <v>1840</v>
      </c>
      <c r="D27" s="255">
        <f>SUM('3.1.asz.melléklet'!E48)</f>
        <v>517641</v>
      </c>
      <c r="E27" s="255">
        <f>SUM('3.1.asz.melléklet'!F48)</f>
        <v>0</v>
      </c>
      <c r="F27" s="255">
        <f>SUM('3.1.asz.melléklet'!G48)</f>
        <v>0</v>
      </c>
      <c r="G27" s="255" t="e">
        <f t="shared" si="0"/>
        <v>#DIV/0!</v>
      </c>
    </row>
    <row r="28" spans="1:7" s="187" customFormat="1" ht="15" customHeight="1" x14ac:dyDescent="0.2">
      <c r="A28" s="184"/>
      <c r="B28" s="185" t="s">
        <v>154</v>
      </c>
      <c r="C28" s="15" t="s">
        <v>42</v>
      </c>
      <c r="D28" s="255">
        <f>SUM('3.1.asz.melléklet'!E49)</f>
        <v>0</v>
      </c>
      <c r="E28" s="255">
        <f>SUM('3.1.asz.melléklet'!F49)</f>
        <v>0</v>
      </c>
      <c r="F28" s="255">
        <f>SUM('3.1.asz.melléklet'!G49)</f>
        <v>0</v>
      </c>
      <c r="G28" s="255" t="e">
        <f t="shared" si="0"/>
        <v>#DIV/0!</v>
      </c>
    </row>
    <row r="29" spans="1:7" s="187" customFormat="1" ht="15" customHeight="1" x14ac:dyDescent="0.2">
      <c r="A29" s="184"/>
      <c r="B29" s="185" t="s">
        <v>156</v>
      </c>
      <c r="C29" s="15" t="s">
        <v>43</v>
      </c>
      <c r="D29" s="255">
        <f>SUM('3.1.asz.melléklet'!E58)</f>
        <v>9029</v>
      </c>
      <c r="E29" s="255">
        <f>'3.1.asz.melléklet'!F58</f>
        <v>0</v>
      </c>
      <c r="F29" s="255">
        <f>'3.1.asz.melléklet'!G58</f>
        <v>0</v>
      </c>
      <c r="G29" s="255" t="e">
        <f t="shared" si="0"/>
        <v>#DIV/0!</v>
      </c>
    </row>
    <row r="30" spans="1:7" s="187" customFormat="1" ht="15" customHeight="1" x14ac:dyDescent="0.2">
      <c r="A30" s="184"/>
      <c r="B30" s="185" t="s">
        <v>1094</v>
      </c>
      <c r="C30" s="15" t="s">
        <v>44</v>
      </c>
      <c r="D30" s="255"/>
      <c r="E30" s="255"/>
      <c r="F30" s="255"/>
      <c r="G30" s="255"/>
    </row>
    <row r="31" spans="1:7" s="187" customFormat="1" ht="15" customHeight="1" x14ac:dyDescent="0.2">
      <c r="A31" s="184"/>
      <c r="B31" s="185" t="s">
        <v>1095</v>
      </c>
      <c r="C31" s="15" t="s">
        <v>45</v>
      </c>
      <c r="D31" s="255"/>
      <c r="E31" s="255"/>
      <c r="F31" s="255"/>
      <c r="G31" s="255"/>
    </row>
    <row r="32" spans="1:7" s="187" customFormat="1" ht="15" customHeight="1" x14ac:dyDescent="0.2">
      <c r="A32" s="184"/>
      <c r="B32" s="185" t="s">
        <v>1096</v>
      </c>
      <c r="C32" s="15" t="s">
        <v>46</v>
      </c>
      <c r="D32" s="255"/>
      <c r="E32" s="255"/>
      <c r="F32" s="255"/>
      <c r="G32" s="255"/>
    </row>
    <row r="33" spans="1:7" s="187" customFormat="1" ht="15" customHeight="1" x14ac:dyDescent="0.2">
      <c r="A33" s="184"/>
      <c r="B33" s="185" t="s">
        <v>1414</v>
      </c>
      <c r="C33" s="15" t="s">
        <v>47</v>
      </c>
      <c r="D33" s="255"/>
      <c r="E33" s="255"/>
      <c r="F33" s="255"/>
      <c r="G33" s="255"/>
    </row>
    <row r="34" spans="1:7" s="187" customFormat="1" ht="15" customHeight="1" x14ac:dyDescent="0.2">
      <c r="A34" s="194"/>
      <c r="B34" s="185" t="s">
        <v>1454</v>
      </c>
      <c r="C34" s="15" t="s">
        <v>274</v>
      </c>
      <c r="D34" s="258"/>
      <c r="E34" s="258">
        <f>'3.1.asz.melléklet'!F69</f>
        <v>0</v>
      </c>
      <c r="F34" s="258">
        <f>'3.1.asz.melléklet'!G69</f>
        <v>0</v>
      </c>
      <c r="G34" s="258" t="e">
        <f t="shared" si="0"/>
        <v>#DIV/0!</v>
      </c>
    </row>
    <row r="35" spans="1:7" s="187" customFormat="1" ht="15" customHeight="1" x14ac:dyDescent="0.2">
      <c r="A35" s="1382" t="s">
        <v>39</v>
      </c>
      <c r="B35" s="12"/>
      <c r="C35" s="67" t="s">
        <v>1947</v>
      </c>
      <c r="D35" s="254">
        <f>SUM(D36,D43)</f>
        <v>157195</v>
      </c>
      <c r="E35" s="254">
        <f>SUM(E36,E43)</f>
        <v>0</v>
      </c>
      <c r="F35" s="254">
        <f>SUM(F36,F43)</f>
        <v>0</v>
      </c>
      <c r="G35" s="254" t="e">
        <f t="shared" si="0"/>
        <v>#DIV/0!</v>
      </c>
    </row>
    <row r="36" spans="1:7" s="187" customFormat="1" ht="15" customHeight="1" x14ac:dyDescent="0.2">
      <c r="A36" s="192"/>
      <c r="B36" s="199" t="s">
        <v>1098</v>
      </c>
      <c r="C36" s="15" t="s">
        <v>1946</v>
      </c>
      <c r="D36" s="259">
        <f>SUM(D37:D41)</f>
        <v>0</v>
      </c>
      <c r="E36" s="259">
        <f>SUM(E37:E42)</f>
        <v>0</v>
      </c>
      <c r="F36" s="259">
        <f>SUM(F37:F42)</f>
        <v>0</v>
      </c>
      <c r="G36" s="259" t="e">
        <f t="shared" si="0"/>
        <v>#DIV/0!</v>
      </c>
    </row>
    <row r="37" spans="1:7" s="187" customFormat="1" ht="15" customHeight="1" x14ac:dyDescent="0.2">
      <c r="A37" s="184"/>
      <c r="B37" s="200" t="s">
        <v>1853</v>
      </c>
      <c r="C37" s="32" t="s">
        <v>52</v>
      </c>
      <c r="D37" s="255"/>
      <c r="E37" s="255"/>
      <c r="F37" s="255"/>
      <c r="G37" s="255"/>
    </row>
    <row r="38" spans="1:7" s="187" customFormat="1" ht="15" customHeight="1" x14ac:dyDescent="0.2">
      <c r="A38" s="184"/>
      <c r="B38" s="200" t="s">
        <v>1854</v>
      </c>
      <c r="C38" s="32" t="s">
        <v>54</v>
      </c>
      <c r="D38" s="255"/>
      <c r="E38" s="255"/>
      <c r="F38" s="255"/>
      <c r="G38" s="255"/>
    </row>
    <row r="39" spans="1:7" s="187" customFormat="1" ht="15" customHeight="1" x14ac:dyDescent="0.2">
      <c r="A39" s="184"/>
      <c r="B39" s="200" t="s">
        <v>1855</v>
      </c>
      <c r="C39" s="32" t="s">
        <v>275</v>
      </c>
      <c r="D39" s="255">
        <f>SUM('3.1.asz.melléklet'!E73)</f>
        <v>0</v>
      </c>
      <c r="E39" s="255">
        <f>SUM('3.1.asz.melléklet'!F73)</f>
        <v>0</v>
      </c>
      <c r="F39" s="255">
        <f>SUM('3.1.asz.melléklet'!G73)</f>
        <v>0</v>
      </c>
      <c r="G39" s="255" t="e">
        <f t="shared" si="0"/>
        <v>#DIV/0!</v>
      </c>
    </row>
    <row r="40" spans="1:7" s="187" customFormat="1" ht="15" customHeight="1" x14ac:dyDescent="0.2">
      <c r="A40" s="184"/>
      <c r="B40" s="200" t="s">
        <v>1856</v>
      </c>
      <c r="C40" s="32" t="s">
        <v>58</v>
      </c>
      <c r="D40" s="255"/>
      <c r="E40" s="255"/>
      <c r="F40" s="255"/>
      <c r="G40" s="255"/>
    </row>
    <row r="41" spans="1:7" s="187" customFormat="1" ht="15" customHeight="1" x14ac:dyDescent="0.2">
      <c r="A41" s="184"/>
      <c r="B41" s="200" t="s">
        <v>1857</v>
      </c>
      <c r="C41" s="32" t="s">
        <v>1944</v>
      </c>
      <c r="D41" s="255"/>
      <c r="E41" s="255"/>
      <c r="F41" s="255"/>
      <c r="G41" s="255"/>
    </row>
    <row r="42" spans="1:7" s="187" customFormat="1" ht="15" customHeight="1" x14ac:dyDescent="0.2">
      <c r="A42" s="184"/>
      <c r="B42" s="200" t="s">
        <v>1858</v>
      </c>
      <c r="C42" s="32" t="s">
        <v>1945</v>
      </c>
      <c r="D42" s="255"/>
      <c r="E42" s="255">
        <f>'3.1.asz.melléklet'!F77</f>
        <v>0</v>
      </c>
      <c r="F42" s="255">
        <f>'3.1.asz.melléklet'!G77</f>
        <v>0</v>
      </c>
      <c r="G42" s="255" t="e">
        <f t="shared" si="0"/>
        <v>#DIV/0!</v>
      </c>
    </row>
    <row r="43" spans="1:7" s="187" customFormat="1" ht="15" customHeight="1" x14ac:dyDescent="0.2">
      <c r="A43" s="184"/>
      <c r="B43" s="200" t="s">
        <v>41</v>
      </c>
      <c r="C43" s="15" t="s">
        <v>1948</v>
      </c>
      <c r="D43" s="260">
        <f>SUM(D44:D48)</f>
        <v>157195</v>
      </c>
      <c r="E43" s="260">
        <f>SUM(E44:E48)</f>
        <v>0</v>
      </c>
      <c r="F43" s="260">
        <f>SUM(F44:F48)</f>
        <v>0</v>
      </c>
      <c r="G43" s="255" t="e">
        <f t="shared" si="0"/>
        <v>#DIV/0!</v>
      </c>
    </row>
    <row r="44" spans="1:7" s="187" customFormat="1" ht="15" customHeight="1" x14ac:dyDescent="0.2">
      <c r="A44" s="184"/>
      <c r="B44" s="200" t="s">
        <v>1861</v>
      </c>
      <c r="C44" s="32" t="s">
        <v>52</v>
      </c>
      <c r="D44" s="255"/>
      <c r="E44" s="255"/>
      <c r="F44" s="255"/>
      <c r="G44" s="255"/>
    </row>
    <row r="45" spans="1:7" s="187" customFormat="1" ht="15" customHeight="1" x14ac:dyDescent="0.2">
      <c r="A45" s="184"/>
      <c r="B45" s="200" t="s">
        <v>1862</v>
      </c>
      <c r="C45" s="32" t="s">
        <v>54</v>
      </c>
      <c r="D45" s="255"/>
      <c r="E45" s="255"/>
      <c r="F45" s="255"/>
      <c r="G45" s="255"/>
    </row>
    <row r="46" spans="1:7" s="187" customFormat="1" ht="15" customHeight="1" x14ac:dyDescent="0.2">
      <c r="A46" s="184"/>
      <c r="B46" s="200" t="s">
        <v>1863</v>
      </c>
      <c r="C46" s="32" t="s">
        <v>56</v>
      </c>
      <c r="D46" s="255"/>
      <c r="E46" s="255"/>
      <c r="F46" s="255"/>
      <c r="G46" s="255"/>
    </row>
    <row r="47" spans="1:7" s="187" customFormat="1" ht="15" customHeight="1" x14ac:dyDescent="0.2">
      <c r="A47" s="184"/>
      <c r="B47" s="200" t="s">
        <v>1864</v>
      </c>
      <c r="C47" s="32" t="s">
        <v>58</v>
      </c>
      <c r="D47" s="255"/>
      <c r="E47" s="255">
        <f>SUM('3.1.asz.melléklet'!F81)</f>
        <v>0</v>
      </c>
      <c r="F47" s="255">
        <f>SUM('3.1.asz.melléklet'!G81)</f>
        <v>0</v>
      </c>
      <c r="G47" s="255" t="e">
        <f t="shared" si="0"/>
        <v>#DIV/0!</v>
      </c>
    </row>
    <row r="48" spans="1:7" s="187" customFormat="1" ht="15" customHeight="1" thickBot="1" x14ac:dyDescent="0.25">
      <c r="A48" s="202"/>
      <c r="B48" s="200" t="s">
        <v>1865</v>
      </c>
      <c r="C48" s="34" t="s">
        <v>1949</v>
      </c>
      <c r="D48" s="261">
        <f>SUM('3.1.asz.melléklet'!E119)</f>
        <v>157195</v>
      </c>
      <c r="E48" s="261"/>
      <c r="F48" s="261"/>
      <c r="G48" s="261"/>
    </row>
    <row r="49" spans="1:7" s="183" customFormat="1" ht="15" customHeight="1" thickBot="1" x14ac:dyDescent="0.25">
      <c r="A49" s="1382" t="s">
        <v>49</v>
      </c>
      <c r="B49" s="181"/>
      <c r="C49" s="67" t="s">
        <v>1935</v>
      </c>
      <c r="D49" s="254">
        <f>SUM(D50:D52)</f>
        <v>200000</v>
      </c>
      <c r="E49" s="254">
        <f>SUM(E50:E52)</f>
        <v>0</v>
      </c>
      <c r="F49" s="254">
        <f>SUM(F50:F52)</f>
        <v>0</v>
      </c>
      <c r="G49" s="254" t="e">
        <f t="shared" si="0"/>
        <v>#DIV/0!</v>
      </c>
    </row>
    <row r="50" spans="1:7" s="187" customFormat="1" ht="15" customHeight="1" x14ac:dyDescent="0.2">
      <c r="A50" s="184"/>
      <c r="B50" s="200" t="s">
        <v>1867</v>
      </c>
      <c r="C50" s="15" t="s">
        <v>71</v>
      </c>
      <c r="D50" s="255">
        <f>SUM('3.1.asz.melléklet'!E100)</f>
        <v>200000</v>
      </c>
      <c r="E50" s="255">
        <f>'3.1.asz.melléklet'!F99</f>
        <v>0</v>
      </c>
      <c r="F50" s="255">
        <f>'3.1.asz.melléklet'!G99</f>
        <v>0</v>
      </c>
      <c r="G50" s="255"/>
    </row>
    <row r="51" spans="1:7" s="187" customFormat="1" ht="15" customHeight="1" x14ac:dyDescent="0.2">
      <c r="A51" s="184"/>
      <c r="B51" s="200" t="s">
        <v>1868</v>
      </c>
      <c r="C51" s="15" t="s">
        <v>73</v>
      </c>
      <c r="D51" s="255"/>
      <c r="E51" s="255"/>
      <c r="F51" s="255"/>
      <c r="G51" s="255"/>
    </row>
    <row r="52" spans="1:7" s="187" customFormat="1" ht="15" customHeight="1" x14ac:dyDescent="0.2">
      <c r="A52" s="184"/>
      <c r="B52" s="200" t="s">
        <v>1869</v>
      </c>
      <c r="C52" s="15" t="s">
        <v>74</v>
      </c>
      <c r="D52" s="255">
        <f>SUM('3.1.asz.melléklet'!E117)</f>
        <v>0</v>
      </c>
      <c r="E52" s="255">
        <f>SUM('3.1.asz.melléklet'!F117)</f>
        <v>0</v>
      </c>
      <c r="F52" s="255">
        <f>SUM('3.1.asz.melléklet'!G117)</f>
        <v>0</v>
      </c>
      <c r="G52" s="255" t="e">
        <f t="shared" si="0"/>
        <v>#DIV/0!</v>
      </c>
    </row>
    <row r="53" spans="1:7" s="187" customFormat="1" ht="15" customHeight="1" x14ac:dyDescent="0.2">
      <c r="A53" s="1382" t="s">
        <v>179</v>
      </c>
      <c r="B53" s="181"/>
      <c r="C53" s="67" t="s">
        <v>1936</v>
      </c>
      <c r="D53" s="254">
        <f>SUM(D54:D55)</f>
        <v>500</v>
      </c>
      <c r="E53" s="254">
        <f>SUM(E54:E55)</f>
        <v>0</v>
      </c>
      <c r="F53" s="254">
        <f>SUM(F54:F55)</f>
        <v>0</v>
      </c>
      <c r="G53" s="254" t="e">
        <f t="shared" si="0"/>
        <v>#DIV/0!</v>
      </c>
    </row>
    <row r="54" spans="1:7" s="187" customFormat="1" ht="15" customHeight="1" x14ac:dyDescent="0.2">
      <c r="A54" s="204"/>
      <c r="B54" s="200" t="s">
        <v>70</v>
      </c>
      <c r="C54" s="15" t="s">
        <v>77</v>
      </c>
      <c r="D54" s="262"/>
      <c r="E54" s="262">
        <f>'3.1.asz.melléklet'!F82</f>
        <v>0</v>
      </c>
      <c r="F54" s="262">
        <f>'3.1.asz.melléklet'!G82</f>
        <v>0</v>
      </c>
      <c r="G54" s="262"/>
    </row>
    <row r="55" spans="1:7" s="187" customFormat="1" ht="15" customHeight="1" x14ac:dyDescent="0.2">
      <c r="A55" s="184"/>
      <c r="B55" s="200" t="s">
        <v>72</v>
      </c>
      <c r="C55" s="15" t="s">
        <v>79</v>
      </c>
      <c r="D55" s="255">
        <f>SUM('3.1.asz.melléklet'!E120)</f>
        <v>500</v>
      </c>
      <c r="E55" s="255">
        <f>SUM('3.1.asz.melléklet'!F120)</f>
        <v>0</v>
      </c>
      <c r="F55" s="255">
        <f>SUM('3.1.asz.melléklet'!G120)</f>
        <v>0</v>
      </c>
      <c r="G55" s="255" t="e">
        <f t="shared" si="0"/>
        <v>#DIV/0!</v>
      </c>
    </row>
    <row r="56" spans="1:7" s="187" customFormat="1" ht="15" customHeight="1" x14ac:dyDescent="0.2">
      <c r="A56" s="1382" t="s">
        <v>75</v>
      </c>
      <c r="B56" s="205"/>
      <c r="C56" s="67" t="s">
        <v>1937</v>
      </c>
      <c r="D56" s="263">
        <f>SUM('3.1.asz.melléklet'!E127)</f>
        <v>500</v>
      </c>
      <c r="E56" s="263">
        <f>SUM('3.1.asz.melléklet'!F127)</f>
        <v>0</v>
      </c>
      <c r="F56" s="263">
        <f>SUM('3.1.asz.melléklet'!G127)</f>
        <v>0</v>
      </c>
      <c r="G56" s="263" t="e">
        <f t="shared" si="0"/>
        <v>#DIV/0!</v>
      </c>
    </row>
    <row r="57" spans="1:7" s="183" customFormat="1" ht="16.5" customHeight="1" x14ac:dyDescent="0.25">
      <c r="A57" s="1382" t="s">
        <v>207</v>
      </c>
      <c r="B57" s="181"/>
      <c r="C57" s="264" t="s">
        <v>1914</v>
      </c>
      <c r="D57" s="265">
        <f>+D8+D16+D25+D26+D35+D49+D53+D56</f>
        <v>2587544</v>
      </c>
      <c r="E57" s="265">
        <f>+E8+E16+E25+E26+E35+E49+E53+E56</f>
        <v>0</v>
      </c>
      <c r="F57" s="265">
        <f>+F8+F16+F25+F26+F35+F49+F53+F56</f>
        <v>0</v>
      </c>
      <c r="G57" s="265" t="e">
        <f t="shared" si="0"/>
        <v>#DIV/0!</v>
      </c>
    </row>
    <row r="58" spans="1:7" s="183" customFormat="1" ht="15" customHeight="1" x14ac:dyDescent="0.2">
      <c r="A58" s="1382" t="s">
        <v>80</v>
      </c>
      <c r="B58" s="209"/>
      <c r="C58" s="67" t="s">
        <v>1938</v>
      </c>
      <c r="D58" s="266">
        <f>+D59+D60</f>
        <v>0</v>
      </c>
      <c r="E58" s="266">
        <f>+E59+E60</f>
        <v>0</v>
      </c>
      <c r="F58" s="266">
        <f>+F59+F60</f>
        <v>0</v>
      </c>
      <c r="G58" s="266" t="e">
        <f t="shared" si="0"/>
        <v>#DIV/0!</v>
      </c>
    </row>
    <row r="59" spans="1:7" s="183" customFormat="1" ht="15" customHeight="1" x14ac:dyDescent="0.2">
      <c r="A59" s="192"/>
      <c r="B59" s="199" t="s">
        <v>1871</v>
      </c>
      <c r="C59" s="15" t="s">
        <v>83</v>
      </c>
      <c r="D59" s="267"/>
      <c r="E59" s="267">
        <f>'3.1.asz.melléklet'!F88</f>
        <v>0</v>
      </c>
      <c r="F59" s="267">
        <f>'3.1.asz.melléklet'!G88</f>
        <v>0</v>
      </c>
      <c r="G59" s="267" t="e">
        <f t="shared" si="0"/>
        <v>#DIV/0!</v>
      </c>
    </row>
    <row r="60" spans="1:7" s="183" customFormat="1" ht="15" customHeight="1" x14ac:dyDescent="0.2">
      <c r="A60" s="202"/>
      <c r="B60" s="203" t="s">
        <v>1872</v>
      </c>
      <c r="C60" s="15" t="s">
        <v>85</v>
      </c>
      <c r="D60" s="261">
        <f>SUM('3.1.asz.melléklet'!E132)</f>
        <v>0</v>
      </c>
      <c r="E60" s="261">
        <f>'3.1.asz.melléklet'!F133</f>
        <v>0</v>
      </c>
      <c r="F60" s="261">
        <f>'3.1.asz.melléklet'!G133</f>
        <v>0</v>
      </c>
      <c r="G60" s="261" t="e">
        <f t="shared" si="0"/>
        <v>#DIV/0!</v>
      </c>
    </row>
    <row r="61" spans="1:7" s="187" customFormat="1" ht="15" customHeight="1" x14ac:dyDescent="0.25">
      <c r="A61" s="212" t="s">
        <v>81</v>
      </c>
      <c r="B61" s="213"/>
      <c r="C61" s="67" t="s">
        <v>1939</v>
      </c>
      <c r="D61" s="254">
        <f>+D62+D63</f>
        <v>0</v>
      </c>
      <c r="E61" s="254">
        <f>+E62+E63</f>
        <v>0</v>
      </c>
      <c r="F61" s="254">
        <f>+F62+F63</f>
        <v>0</v>
      </c>
      <c r="G61" s="254"/>
    </row>
    <row r="62" spans="1:7" s="187" customFormat="1" ht="15" customHeight="1" x14ac:dyDescent="0.2">
      <c r="A62" s="214"/>
      <c r="B62" s="215" t="s">
        <v>82</v>
      </c>
      <c r="C62" s="15" t="s">
        <v>277</v>
      </c>
      <c r="D62" s="262"/>
      <c r="E62" s="262">
        <f>'3.1.asz.melléklet'!F94</f>
        <v>0</v>
      </c>
      <c r="F62" s="262">
        <f>'3.1.asz.melléklet'!G94</f>
        <v>0</v>
      </c>
      <c r="G62" s="262"/>
    </row>
    <row r="63" spans="1:7" s="187" customFormat="1" ht="15" customHeight="1" x14ac:dyDescent="0.2">
      <c r="A63" s="217"/>
      <c r="B63" s="218" t="s">
        <v>84</v>
      </c>
      <c r="C63" s="15" t="s">
        <v>281</v>
      </c>
      <c r="D63" s="258"/>
      <c r="E63" s="258">
        <f>'3.1.asz.melléklet'!F138</f>
        <v>0</v>
      </c>
      <c r="F63" s="258">
        <f>'3.1.asz.melléklet'!G138</f>
        <v>0</v>
      </c>
      <c r="G63" s="258"/>
    </row>
    <row r="64" spans="1:7" s="187" customFormat="1" ht="15" customHeight="1" x14ac:dyDescent="0.25">
      <c r="A64" s="212"/>
      <c r="B64" s="213"/>
      <c r="C64" s="12" t="s">
        <v>1940</v>
      </c>
      <c r="D64" s="220"/>
      <c r="E64" s="220">
        <f>'3.1.asz.melléklet'!F140</f>
        <v>0</v>
      </c>
      <c r="F64" s="220">
        <f>'3.1.asz.melléklet'!G140</f>
        <v>0</v>
      </c>
      <c r="G64" s="220"/>
    </row>
    <row r="65" spans="1:10" s="187" customFormat="1" ht="21" customHeight="1" x14ac:dyDescent="0.2">
      <c r="A65" s="268" t="s">
        <v>86</v>
      </c>
      <c r="B65" s="269"/>
      <c r="C65" s="51" t="s">
        <v>1941</v>
      </c>
      <c r="D65" s="270">
        <f>+D57+D58+D61</f>
        <v>2587544</v>
      </c>
      <c r="E65" s="270">
        <f>+E57+E58+E61+E64</f>
        <v>0</v>
      </c>
      <c r="F65" s="270">
        <f>+F57+F58+F61+F64</f>
        <v>0</v>
      </c>
      <c r="G65" s="270" t="e">
        <f t="shared" si="0"/>
        <v>#DIV/0!</v>
      </c>
    </row>
    <row r="66" spans="1:10" s="187" customFormat="1" ht="15" customHeight="1" x14ac:dyDescent="0.2">
      <c r="A66" s="271"/>
      <c r="B66" s="271"/>
      <c r="C66" s="272"/>
      <c r="D66" s="273"/>
      <c r="E66" s="273"/>
      <c r="F66" s="273"/>
      <c r="G66" s="273"/>
    </row>
    <row r="67" spans="1:10" s="175" customFormat="1" ht="20.25" customHeight="1" x14ac:dyDescent="0.2">
      <c r="A67" s="274"/>
      <c r="B67" s="275"/>
      <c r="C67" s="227" t="s">
        <v>199</v>
      </c>
      <c r="D67" s="228"/>
      <c r="E67" s="228"/>
      <c r="F67" s="228"/>
      <c r="G67" s="228"/>
    </row>
    <row r="68" spans="1:10" s="232" customFormat="1" ht="15" customHeight="1" x14ac:dyDescent="0.2">
      <c r="A68" s="180" t="s">
        <v>5</v>
      </c>
      <c r="B68" s="12"/>
      <c r="C68" s="67" t="s">
        <v>301</v>
      </c>
      <c r="D68" s="254">
        <f>SUM(D69:D73)+D82</f>
        <v>873535</v>
      </c>
      <c r="E68" s="254">
        <f>SUM(E69:E73)+E82</f>
        <v>0</v>
      </c>
      <c r="F68" s="254">
        <f>SUM(F69:F73)+F82</f>
        <v>0</v>
      </c>
      <c r="G68" s="254" t="e">
        <f t="shared" si="0"/>
        <v>#DIV/0!</v>
      </c>
    </row>
    <row r="69" spans="1:10" ht="15" customHeight="1" x14ac:dyDescent="0.2">
      <c r="A69" s="204"/>
      <c r="B69" s="231" t="s">
        <v>103</v>
      </c>
      <c r="C69" s="15" t="s">
        <v>104</v>
      </c>
      <c r="D69" s="262">
        <f>SUM('3.2.sz.melléklet'!E162+'3.2.sz.melléklet'!E179+'3.2.sz.melléklet'!E184+'3.2.sz.melléklet'!E204)</f>
        <v>16170</v>
      </c>
      <c r="E69" s="262">
        <f>'3.2.sz.melléklet'!F211+'3.2.sz.melléklet'!F4</f>
        <v>0</v>
      </c>
      <c r="F69" s="262">
        <f>'3.2.sz.melléklet'!G211+'3.2.sz.melléklet'!G4</f>
        <v>0</v>
      </c>
      <c r="G69" s="262" t="e">
        <f t="shared" si="0"/>
        <v>#DIV/0!</v>
      </c>
    </row>
    <row r="70" spans="1:10" ht="15" customHeight="1" x14ac:dyDescent="0.2">
      <c r="A70" s="184"/>
      <c r="B70" s="200" t="s">
        <v>105</v>
      </c>
      <c r="C70" s="15" t="s">
        <v>106</v>
      </c>
      <c r="D70" s="255">
        <f>SUM('3.2.sz.melléklet'!E7+'3.2.sz.melléklet'!E163+'3.2.sz.melléklet'!E180+'3.2.sz.melléklet'!E185+'3.2.sz.melléklet'!E205)</f>
        <v>10003</v>
      </c>
      <c r="E70" s="262">
        <f>'3.2.sz.melléklet'!F212+'3.2.sz.melléklet'!F7</f>
        <v>0</v>
      </c>
      <c r="F70" s="262">
        <f>'3.2.sz.melléklet'!G212+'3.2.sz.melléklet'!G7</f>
        <v>0</v>
      </c>
      <c r="G70" s="255" t="e">
        <f t="shared" si="0"/>
        <v>#DIV/0!</v>
      </c>
    </row>
    <row r="71" spans="1:10" ht="15" customHeight="1" x14ac:dyDescent="0.2">
      <c r="A71" s="184"/>
      <c r="B71" s="200" t="s">
        <v>107</v>
      </c>
      <c r="C71" s="15" t="s">
        <v>108</v>
      </c>
      <c r="D71" s="255">
        <f>SUM('3.2.sz.melléklet'!E15+'3.2.sz.melléklet'!E16+'3.2.sz.melléklet'!E19+'3.2.sz.melléklet'!E164+'3.2.sz.melléklet'!E172+'3.2.sz.melléklet'!E181+'3.2.sz.melléklet'!E186+'3.2.sz.melléklet'!E189+'3.2.sz.melléklet'!E191+'3.2.sz.melléklet'!E193+'3.2.sz.melléklet'!E202+'3.2.sz.melléklet'!E206+'3.2.sz.melléklet'!E18)</f>
        <v>553111</v>
      </c>
      <c r="E71" s="255">
        <f>'3.2.sz.melléklet'!F213+'3.2.sz.melléklet'!F13+'3.2.sz.melléklet'!F139</f>
        <v>0</v>
      </c>
      <c r="F71" s="255">
        <f>'3.2.sz.melléklet'!G213+'3.2.sz.melléklet'!G13+'3.2.sz.melléklet'!G139</f>
        <v>0</v>
      </c>
      <c r="G71" s="255" t="e">
        <f t="shared" si="0"/>
        <v>#DIV/0!</v>
      </c>
      <c r="J71" s="87"/>
    </row>
    <row r="72" spans="1:10" ht="15" customHeight="1" x14ac:dyDescent="0.2">
      <c r="A72" s="184"/>
      <c r="B72" s="200" t="s">
        <v>109</v>
      </c>
      <c r="C72" s="15" t="s">
        <v>283</v>
      </c>
      <c r="D72" s="255">
        <f>SUM('3.2.sz.melléklet'!E106)</f>
        <v>17000</v>
      </c>
      <c r="E72" s="255">
        <f>SUM('3.2.sz.melléklet'!F106)</f>
        <v>0</v>
      </c>
      <c r="F72" s="255">
        <f>SUM('3.2.sz.melléklet'!G106)</f>
        <v>0</v>
      </c>
      <c r="G72" s="255" t="e">
        <f t="shared" si="0"/>
        <v>#DIV/0!</v>
      </c>
    </row>
    <row r="73" spans="1:10" ht="15" customHeight="1" x14ac:dyDescent="0.2">
      <c r="A73" s="184"/>
      <c r="B73" s="200" t="s">
        <v>111</v>
      </c>
      <c r="C73" s="15" t="s">
        <v>112</v>
      </c>
      <c r="D73" s="255">
        <f>SUM(D74:D81)</f>
        <v>133646</v>
      </c>
      <c r="E73" s="255">
        <f>SUM(E74:E81)</f>
        <v>0</v>
      </c>
      <c r="F73" s="255">
        <f>SUM(F74:F81)</f>
        <v>0</v>
      </c>
      <c r="G73" s="255" t="e">
        <f t="shared" si="0"/>
        <v>#DIV/0!</v>
      </c>
    </row>
    <row r="74" spans="1:10" ht="15" customHeight="1" x14ac:dyDescent="0.2">
      <c r="A74" s="184"/>
      <c r="B74" s="200" t="s">
        <v>113</v>
      </c>
      <c r="C74" s="276" t="s">
        <v>302</v>
      </c>
      <c r="D74" s="255"/>
      <c r="E74" s="255"/>
      <c r="F74" s="255"/>
      <c r="G74" s="255"/>
    </row>
    <row r="75" spans="1:10" ht="15" customHeight="1" x14ac:dyDescent="0.2">
      <c r="A75" s="184"/>
      <c r="B75" s="200" t="s">
        <v>115</v>
      </c>
      <c r="C75" s="15" t="s">
        <v>110</v>
      </c>
      <c r="D75" s="255"/>
      <c r="E75" s="255"/>
      <c r="F75" s="255"/>
      <c r="G75" s="255"/>
    </row>
    <row r="76" spans="1:10" ht="15" customHeight="1" x14ac:dyDescent="0.2">
      <c r="A76" s="184"/>
      <c r="B76" s="200" t="s">
        <v>303</v>
      </c>
      <c r="C76" s="276" t="s">
        <v>122</v>
      </c>
      <c r="D76" s="255"/>
      <c r="E76" s="255"/>
      <c r="F76" s="255"/>
      <c r="G76" s="255"/>
    </row>
    <row r="77" spans="1:10" ht="15" customHeight="1" x14ac:dyDescent="0.2">
      <c r="A77" s="184"/>
      <c r="B77" s="200" t="s">
        <v>304</v>
      </c>
      <c r="C77" s="276" t="s">
        <v>124</v>
      </c>
      <c r="D77" s="255">
        <f>SUM('3.2.sz.melléklet'!E32)</f>
        <v>101646</v>
      </c>
      <c r="E77" s="255">
        <f>SUM('3.2.sz.melléklet'!F32)</f>
        <v>0</v>
      </c>
      <c r="F77" s="255">
        <f>SUM('3.2.sz.melléklet'!G32)</f>
        <v>0</v>
      </c>
      <c r="G77" s="255" t="e">
        <f t="shared" ref="G77:G107" si="1">F77/E77*100</f>
        <v>#DIV/0!</v>
      </c>
    </row>
    <row r="78" spans="1:10" ht="15" customHeight="1" x14ac:dyDescent="0.2">
      <c r="A78" s="184"/>
      <c r="B78" s="200" t="s">
        <v>305</v>
      </c>
      <c r="C78" s="276" t="s">
        <v>126</v>
      </c>
      <c r="D78" s="255"/>
      <c r="E78" s="255">
        <f>'3.2.sz.melléklet'!F21</f>
        <v>0</v>
      </c>
      <c r="F78" s="255">
        <f>'3.2.sz.melléklet'!G21</f>
        <v>0</v>
      </c>
      <c r="G78" s="255" t="e">
        <f t="shared" si="1"/>
        <v>#DIV/0!</v>
      </c>
    </row>
    <row r="79" spans="1:10" ht="15" customHeight="1" x14ac:dyDescent="0.2">
      <c r="A79" s="184"/>
      <c r="B79" s="200" t="s">
        <v>306</v>
      </c>
      <c r="C79" s="276" t="s">
        <v>128</v>
      </c>
      <c r="D79" s="255"/>
      <c r="E79" s="255"/>
      <c r="F79" s="255"/>
      <c r="G79" s="255"/>
    </row>
    <row r="80" spans="1:10" ht="15" customHeight="1" x14ac:dyDescent="0.2">
      <c r="A80" s="184"/>
      <c r="B80" s="200" t="s">
        <v>307</v>
      </c>
      <c r="C80" s="276" t="s">
        <v>130</v>
      </c>
      <c r="D80" s="255">
        <f>SUM('3.2.sz.melléklet'!E17)</f>
        <v>32000</v>
      </c>
      <c r="E80" s="255">
        <v>0</v>
      </c>
      <c r="F80" s="255">
        <v>0</v>
      </c>
      <c r="G80" s="255"/>
    </row>
    <row r="81" spans="1:15" ht="15" customHeight="1" x14ac:dyDescent="0.2">
      <c r="A81" s="194"/>
      <c r="B81" s="200" t="s">
        <v>308</v>
      </c>
      <c r="C81" s="276" t="s">
        <v>132</v>
      </c>
      <c r="D81" s="258"/>
      <c r="E81" s="258"/>
      <c r="F81" s="258"/>
      <c r="G81" s="258"/>
    </row>
    <row r="82" spans="1:15" ht="15" customHeight="1" x14ac:dyDescent="0.2">
      <c r="A82" s="202"/>
      <c r="B82" s="203" t="s">
        <v>284</v>
      </c>
      <c r="C82" s="239" t="s">
        <v>155</v>
      </c>
      <c r="D82" s="277">
        <f>SUM('3.2.sz.melléklet'!E114)</f>
        <v>143605</v>
      </c>
      <c r="E82" s="277">
        <v>0</v>
      </c>
      <c r="F82" s="277">
        <v>0</v>
      </c>
      <c r="G82" s="277"/>
    </row>
    <row r="83" spans="1:15" ht="15" customHeight="1" x14ac:dyDescent="0.2">
      <c r="A83" s="180" t="s">
        <v>6</v>
      </c>
      <c r="B83" s="12"/>
      <c r="C83" s="67" t="s">
        <v>309</v>
      </c>
      <c r="D83" s="254">
        <f>SUM(D84:D90)</f>
        <v>222432</v>
      </c>
      <c r="E83" s="254" t="e">
        <f>SUM(E84:E90)</f>
        <v>#REF!</v>
      </c>
      <c r="F83" s="254" t="e">
        <f>SUM(F84:F90)</f>
        <v>#REF!</v>
      </c>
      <c r="G83" s="254" t="e">
        <f t="shared" si="1"/>
        <v>#REF!</v>
      </c>
    </row>
    <row r="84" spans="1:15" s="232" customFormat="1" ht="15" customHeight="1" x14ac:dyDescent="0.2">
      <c r="A84" s="204"/>
      <c r="B84" s="200" t="s">
        <v>310</v>
      </c>
      <c r="C84" s="15" t="s">
        <v>311</v>
      </c>
      <c r="D84" s="262">
        <f>SUM('3.2.sz.melléklet'!E130)</f>
        <v>91500</v>
      </c>
      <c r="E84" s="262" t="e">
        <f>SUM('3.2.sz.melléklet'!F130)</f>
        <v>#REF!</v>
      </c>
      <c r="F84" s="262" t="e">
        <f>SUM('3.2.sz.melléklet'!G130)</f>
        <v>#REF!</v>
      </c>
      <c r="G84" s="262" t="e">
        <f t="shared" si="1"/>
        <v>#REF!</v>
      </c>
    </row>
    <row r="85" spans="1:15" ht="15" customHeight="1" x14ac:dyDescent="0.2">
      <c r="A85" s="184"/>
      <c r="B85" s="200" t="s">
        <v>312</v>
      </c>
      <c r="C85" s="15" t="s">
        <v>135</v>
      </c>
      <c r="D85" s="255">
        <f>SUM('3.2.sz.melléklet'!E129)</f>
        <v>25000</v>
      </c>
      <c r="E85" s="255" t="e">
        <f>SUM('3.2.sz.melléklet'!F129)</f>
        <v>#REF!</v>
      </c>
      <c r="F85" s="255" t="e">
        <f>SUM('3.2.sz.melléklet'!G129)</f>
        <v>#REF!</v>
      </c>
      <c r="G85" s="255" t="e">
        <f t="shared" si="1"/>
        <v>#REF!</v>
      </c>
    </row>
    <row r="86" spans="1:15" ht="15" customHeight="1" x14ac:dyDescent="0.2">
      <c r="A86" s="184"/>
      <c r="B86" s="200" t="s">
        <v>313</v>
      </c>
      <c r="C86" s="15" t="s">
        <v>136</v>
      </c>
      <c r="D86" s="255"/>
      <c r="E86" s="255"/>
      <c r="F86" s="255"/>
      <c r="G86" s="255"/>
    </row>
    <row r="87" spans="1:15" ht="15" customHeight="1" x14ac:dyDescent="0.2">
      <c r="A87" s="184"/>
      <c r="B87" s="200" t="s">
        <v>314</v>
      </c>
      <c r="C87" s="15" t="s">
        <v>137</v>
      </c>
      <c r="D87" s="255"/>
      <c r="E87" s="255"/>
      <c r="F87" s="255"/>
      <c r="G87" s="255"/>
    </row>
    <row r="88" spans="1:15" ht="30" x14ac:dyDescent="0.2">
      <c r="A88" s="184"/>
      <c r="B88" s="200" t="s">
        <v>315</v>
      </c>
      <c r="C88" s="15" t="s">
        <v>138</v>
      </c>
      <c r="D88" s="255"/>
      <c r="E88" s="255"/>
      <c r="F88" s="255"/>
      <c r="G88" s="255"/>
    </row>
    <row r="89" spans="1:15" ht="30" x14ac:dyDescent="0.2">
      <c r="A89" s="184"/>
      <c r="B89" s="200" t="s">
        <v>316</v>
      </c>
      <c r="C89" s="15" t="s">
        <v>286</v>
      </c>
      <c r="D89" s="255"/>
      <c r="E89" s="255"/>
      <c r="F89" s="255"/>
      <c r="G89" s="255"/>
    </row>
    <row r="90" spans="1:15" ht="15" customHeight="1" x14ac:dyDescent="0.2">
      <c r="A90" s="184"/>
      <c r="B90" s="200" t="s">
        <v>317</v>
      </c>
      <c r="C90" s="15" t="s">
        <v>140</v>
      </c>
      <c r="D90" s="255">
        <f>SUM(D92+D91)</f>
        <v>105932</v>
      </c>
      <c r="E90" s="255">
        <f>SUM(E92+E91)</f>
        <v>0</v>
      </c>
      <c r="F90" s="255">
        <f>SUM(F92+F91)</f>
        <v>0</v>
      </c>
      <c r="G90" s="255" t="e">
        <f t="shared" si="1"/>
        <v>#DIV/0!</v>
      </c>
    </row>
    <row r="91" spans="1:15" ht="15" customHeight="1" x14ac:dyDescent="0.2">
      <c r="A91" s="184"/>
      <c r="B91" s="200" t="s">
        <v>141</v>
      </c>
      <c r="C91" s="32" t="s">
        <v>130</v>
      </c>
      <c r="D91" s="255">
        <f>SUM('3.2.sz.melléklet'!E138+'3.2.sz.melléklet'!E139)</f>
        <v>54500</v>
      </c>
      <c r="E91" s="255"/>
      <c r="F91" s="255"/>
      <c r="G91" s="255"/>
    </row>
    <row r="92" spans="1:15" s="232" customFormat="1" ht="15" customHeight="1" x14ac:dyDescent="0.2">
      <c r="A92" s="184"/>
      <c r="B92" s="200" t="s">
        <v>143</v>
      </c>
      <c r="C92" s="32" t="s">
        <v>1472</v>
      </c>
      <c r="D92" s="255">
        <f>SUM(D93:D95)</f>
        <v>51432</v>
      </c>
      <c r="E92" s="255">
        <f>SUM(E93:E95)</f>
        <v>0</v>
      </c>
      <c r="F92" s="255">
        <f>SUM(F93:F95)</f>
        <v>0</v>
      </c>
      <c r="G92" s="255" t="e">
        <f t="shared" si="1"/>
        <v>#DIV/0!</v>
      </c>
    </row>
    <row r="93" spans="1:15" ht="15" customHeight="1" x14ac:dyDescent="0.25">
      <c r="A93" s="184"/>
      <c r="B93" s="200" t="s">
        <v>318</v>
      </c>
      <c r="C93" s="278" t="s">
        <v>319</v>
      </c>
      <c r="D93" s="279">
        <f>SUM('3.2.sz.melléklet'!E134)</f>
        <v>51432</v>
      </c>
      <c r="E93" s="279">
        <f>SUM('3.2.sz.melléklet'!F134)</f>
        <v>0</v>
      </c>
      <c r="F93" s="279">
        <f>SUM('3.2.sz.melléklet'!G134)</f>
        <v>0</v>
      </c>
      <c r="G93" s="279" t="e">
        <f t="shared" si="1"/>
        <v>#DIV/0!</v>
      </c>
      <c r="O93" s="237"/>
    </row>
    <row r="94" spans="1:15" ht="15" customHeight="1" x14ac:dyDescent="0.25">
      <c r="A94" s="184"/>
      <c r="B94" s="200" t="s">
        <v>320</v>
      </c>
      <c r="C94" s="278" t="s">
        <v>321</v>
      </c>
      <c r="D94" s="279"/>
      <c r="E94" s="279">
        <f>'3.2.sz.melléklet'!F133</f>
        <v>0</v>
      </c>
      <c r="F94" s="279">
        <f>'3.2.sz.melléklet'!G133</f>
        <v>0</v>
      </c>
      <c r="G94" s="279"/>
    </row>
    <row r="95" spans="1:15" ht="15" customHeight="1" x14ac:dyDescent="0.25">
      <c r="A95" s="194"/>
      <c r="B95" s="200" t="s">
        <v>322</v>
      </c>
      <c r="C95" s="280" t="s">
        <v>323</v>
      </c>
      <c r="D95" s="281"/>
      <c r="E95" s="281"/>
      <c r="F95" s="281"/>
      <c r="G95" s="281"/>
    </row>
    <row r="96" spans="1:15" ht="15" customHeight="1" x14ac:dyDescent="0.2">
      <c r="A96" s="180" t="s">
        <v>20</v>
      </c>
      <c r="B96" s="12"/>
      <c r="C96" s="67" t="s">
        <v>149</v>
      </c>
      <c r="D96" s="220"/>
      <c r="E96" s="220">
        <f>'3.2.sz.melléklet'!F137</f>
        <v>0</v>
      </c>
      <c r="F96" s="220">
        <f>'3.2.sz.melléklet'!G137</f>
        <v>0</v>
      </c>
      <c r="G96" s="220" t="e">
        <f t="shared" si="1"/>
        <v>#DIV/0!</v>
      </c>
    </row>
    <row r="97" spans="1:10" s="232" customFormat="1" ht="15" customHeight="1" x14ac:dyDescent="0.2">
      <c r="A97" s="180" t="s">
        <v>150</v>
      </c>
      <c r="B97" s="12"/>
      <c r="C97" s="67" t="s">
        <v>151</v>
      </c>
      <c r="D97" s="254">
        <f>+D98+D100</f>
        <v>115000</v>
      </c>
      <c r="E97" s="254" t="e">
        <f>+E98+E100+E99</f>
        <v>#REF!</v>
      </c>
      <c r="F97" s="254">
        <f>+F98+F100</f>
        <v>0</v>
      </c>
      <c r="G97" s="254" t="e">
        <f t="shared" si="1"/>
        <v>#REF!</v>
      </c>
    </row>
    <row r="98" spans="1:10" s="232" customFormat="1" ht="15" customHeight="1" x14ac:dyDescent="0.2">
      <c r="A98" s="204"/>
      <c r="B98" s="231" t="s">
        <v>287</v>
      </c>
      <c r="C98" s="15" t="s">
        <v>153</v>
      </c>
      <c r="D98" s="262">
        <f>SUM('3.2.sz.melléklet'!E147)</f>
        <v>20000</v>
      </c>
      <c r="E98" s="262">
        <f>SUM('3.2.sz.melléklet'!F147+'3.2.sz.melléklet'!F113)</f>
        <v>0</v>
      </c>
      <c r="F98" s="262">
        <f>SUM('3.2.sz.melléklet'!G147)</f>
        <v>0</v>
      </c>
      <c r="G98" s="262" t="e">
        <f t="shared" si="1"/>
        <v>#DIV/0!</v>
      </c>
    </row>
    <row r="99" spans="1:10" s="232" customFormat="1" ht="15" customHeight="1" x14ac:dyDescent="0.2">
      <c r="A99" s="188"/>
      <c r="B99" s="234" t="s">
        <v>154</v>
      </c>
      <c r="C99" s="15" t="s">
        <v>285</v>
      </c>
      <c r="D99" s="256">
        <v>0</v>
      </c>
      <c r="E99" s="256" t="e">
        <f>'3.2.sz.melléklet'!F114</f>
        <v>#REF!</v>
      </c>
      <c r="F99" s="256">
        <f>'3.2.sz.melléklet'!G114</f>
        <v>0</v>
      </c>
      <c r="G99" s="256"/>
    </row>
    <row r="100" spans="1:10" s="232" customFormat="1" ht="15" customHeight="1" x14ac:dyDescent="0.2">
      <c r="A100" s="194"/>
      <c r="B100" s="218" t="s">
        <v>324</v>
      </c>
      <c r="C100" s="15" t="s">
        <v>157</v>
      </c>
      <c r="D100" s="258">
        <f>SUM('3.2.sz.melléklet'!E148)</f>
        <v>95000</v>
      </c>
      <c r="E100" s="258" t="e">
        <f>SUM('3.2.sz.melléklet'!F148)</f>
        <v>#REF!</v>
      </c>
      <c r="F100" s="258">
        <f>SUM('3.2.sz.melléklet'!G148)</f>
        <v>0</v>
      </c>
      <c r="G100" s="258" t="e">
        <f t="shared" si="1"/>
        <v>#REF!</v>
      </c>
    </row>
    <row r="101" spans="1:10" s="232" customFormat="1" ht="15" customHeight="1" x14ac:dyDescent="0.2">
      <c r="A101" s="180" t="s">
        <v>39</v>
      </c>
      <c r="B101" s="240"/>
      <c r="C101" s="67" t="s">
        <v>288</v>
      </c>
      <c r="D101" s="220">
        <f>SUM('3.2.sz.melléklet'!E24)</f>
        <v>1312577</v>
      </c>
      <c r="E101" s="220">
        <f>SUM('3.2.sz.melléklet'!F24)</f>
        <v>0</v>
      </c>
      <c r="F101" s="220" t="e">
        <f>SUM('3.2.sz.melléklet'!G24)</f>
        <v>#REF!</v>
      </c>
      <c r="G101" s="220" t="e">
        <f t="shared" si="1"/>
        <v>#REF!</v>
      </c>
    </row>
    <row r="102" spans="1:10" s="232" customFormat="1" ht="15" customHeight="1" x14ac:dyDescent="0.2">
      <c r="A102" s="180" t="s">
        <v>49</v>
      </c>
      <c r="B102" s="12"/>
      <c r="C102" s="40" t="s">
        <v>289</v>
      </c>
      <c r="D102" s="282">
        <f>+D68+D83+D96+D97+D101</f>
        <v>2523544</v>
      </c>
      <c r="E102" s="282" t="e">
        <f>+E68+E83+E96+E97+E101</f>
        <v>#REF!</v>
      </c>
      <c r="F102" s="282" t="e">
        <f>+F68+F83+F96+F97+F101</f>
        <v>#REF!</v>
      </c>
      <c r="G102" s="282" t="e">
        <f t="shared" si="1"/>
        <v>#REF!</v>
      </c>
    </row>
    <row r="103" spans="1:10" s="232" customFormat="1" ht="15" customHeight="1" x14ac:dyDescent="0.2">
      <c r="A103" s="180" t="s">
        <v>179</v>
      </c>
      <c r="B103" s="12"/>
      <c r="C103" s="67" t="s">
        <v>290</v>
      </c>
      <c r="D103" s="254">
        <f>+D104+D105</f>
        <v>64000</v>
      </c>
      <c r="E103" s="254" t="e">
        <f>+E104+E105</f>
        <v>#REF!</v>
      </c>
      <c r="F103" s="254" t="e">
        <f>+F104+F105</f>
        <v>#REF!</v>
      </c>
      <c r="G103" s="254" t="e">
        <f t="shared" si="1"/>
        <v>#REF!</v>
      </c>
    </row>
    <row r="104" spans="1:10" ht="15" customHeight="1" x14ac:dyDescent="0.2">
      <c r="A104" s="204"/>
      <c r="B104" s="200" t="s">
        <v>291</v>
      </c>
      <c r="C104" s="15" t="s">
        <v>292</v>
      </c>
      <c r="D104" s="262"/>
      <c r="E104" s="262">
        <f>'3.2.sz.melléklet'!F118</f>
        <v>0</v>
      </c>
      <c r="F104" s="262">
        <f>'3.2.sz.melléklet'!G118</f>
        <v>0</v>
      </c>
      <c r="G104" s="262"/>
    </row>
    <row r="105" spans="1:10" ht="15" customHeight="1" x14ac:dyDescent="0.2">
      <c r="A105" s="194"/>
      <c r="B105" s="218" t="s">
        <v>72</v>
      </c>
      <c r="C105" s="15" t="s">
        <v>293</v>
      </c>
      <c r="D105" s="258">
        <f>SUM('3.2.sz.melléklet'!E151)</f>
        <v>64000</v>
      </c>
      <c r="E105" s="258" t="e">
        <f>SUM('3.2.sz.melléklet'!F151)</f>
        <v>#REF!</v>
      </c>
      <c r="F105" s="258" t="e">
        <f>SUM('3.2.sz.melléklet'!G151)</f>
        <v>#REF!</v>
      </c>
      <c r="G105" s="258" t="e">
        <f t="shared" si="1"/>
        <v>#REF!</v>
      </c>
    </row>
    <row r="106" spans="1:10" s="187" customFormat="1" ht="15" customHeight="1" x14ac:dyDescent="0.2">
      <c r="A106" s="180"/>
      <c r="B106" s="12"/>
      <c r="C106" s="67" t="s">
        <v>325</v>
      </c>
      <c r="D106" s="220"/>
      <c r="E106" s="220">
        <f>'3.2.sz.melléklet'!F218</f>
        <v>0</v>
      </c>
      <c r="F106" s="220">
        <f>'3.2.sz.melléklet'!G218</f>
        <v>0</v>
      </c>
      <c r="G106" s="220"/>
    </row>
    <row r="107" spans="1:10" ht="15" customHeight="1" x14ac:dyDescent="0.2">
      <c r="A107" s="268" t="s">
        <v>75</v>
      </c>
      <c r="B107" s="269"/>
      <c r="C107" s="51" t="s">
        <v>296</v>
      </c>
      <c r="D107" s="270">
        <f>+D102+D103</f>
        <v>2587544</v>
      </c>
      <c r="E107" s="270" t="e">
        <f>+E102+E103+E106</f>
        <v>#REF!</v>
      </c>
      <c r="F107" s="270" t="e">
        <f>+F102+F103+F106</f>
        <v>#REF!</v>
      </c>
      <c r="G107" s="270" t="e">
        <f t="shared" si="1"/>
        <v>#REF!</v>
      </c>
      <c r="J107" s="230"/>
    </row>
    <row r="108" spans="1:10" ht="15" customHeight="1" x14ac:dyDescent="0.2">
      <c r="A108" s="283"/>
      <c r="B108" s="284"/>
      <c r="C108" s="284"/>
      <c r="D108" s="243"/>
      <c r="E108" s="243"/>
      <c r="F108" s="243"/>
      <c r="G108" s="243"/>
    </row>
    <row r="109" spans="1:10" ht="15" customHeight="1" x14ac:dyDescent="0.2">
      <c r="A109" s="1589" t="s">
        <v>297</v>
      </c>
      <c r="B109" s="1589"/>
      <c r="C109" s="1589"/>
      <c r="D109" s="247">
        <f>SUM('3.2.sz.melléklet'!E187+'3.2.sz.melléklet'!E170)</f>
        <v>9.5</v>
      </c>
      <c r="E109" s="247">
        <f>SUM('3.2.sz.melléklet'!F187+'3.2.sz.melléklet'!F170)</f>
        <v>0</v>
      </c>
      <c r="F109" s="247">
        <f>SUM('3.2.sz.melléklet'!G187+'3.2.sz.melléklet'!G170)</f>
        <v>0</v>
      </c>
      <c r="G109" s="247"/>
    </row>
    <row r="110" spans="1:10" ht="15" customHeight="1" x14ac:dyDescent="0.2">
      <c r="A110" s="1589" t="s">
        <v>298</v>
      </c>
      <c r="B110" s="1589"/>
      <c r="C110" s="1589"/>
      <c r="D110" s="285">
        <v>13.5</v>
      </c>
      <c r="E110" s="285">
        <f>SUM('3.2.sz.melléklet'!F182)</f>
        <v>0</v>
      </c>
      <c r="F110" s="285">
        <f>SUM('3.2.sz.melléklet'!G182)</f>
        <v>0</v>
      </c>
      <c r="G110" s="285"/>
    </row>
    <row r="111" spans="1:10" ht="15" customHeight="1" x14ac:dyDescent="0.2"/>
    <row r="112" spans="1:10" ht="15" customHeight="1" x14ac:dyDescent="0.2"/>
  </sheetData>
  <sheetProtection selectLockedCells="1" selectUnlockedCells="1"/>
  <mergeCells count="6">
    <mergeCell ref="A110:C110"/>
    <mergeCell ref="D3:F3"/>
    <mergeCell ref="A1:B1"/>
    <mergeCell ref="A2:B2"/>
    <mergeCell ref="A4:B4"/>
    <mergeCell ref="A109:C109"/>
  </mergeCells>
  <printOptions horizontalCentered="1"/>
  <pageMargins left="0.31496062992125984" right="0.23622047244094491" top="0.78740157480314965" bottom="0.47244094488188981" header="0.27559055118110237" footer="0.27559055118110237"/>
  <pageSetup paperSize="9" scale="95" firstPageNumber="51" orientation="portrait" useFirstPageNumber="1" r:id="rId1"/>
  <headerFooter alignWithMargins="0">
    <oddHeader>&amp;C&amp;"Times New Roman CE,Félkövér"&amp;14Vecsés Város Önkormányzat 2013. évi 
bevételei és kiadásai&amp;R&amp;"Times New Roman,Normál"&amp;11 &amp;12 3. sz. melléklet
Ezer Ft</oddHeader>
    <oddFooter>&amp;C- &amp;P -</oddFooter>
  </headerFooter>
  <rowBreaks count="2" manualBreakCount="2">
    <brk id="48" max="16383" man="1"/>
    <brk id="8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59</vt:i4>
      </vt:variant>
      <vt:variant>
        <vt:lpstr>Névvel ellátott tartományok</vt:lpstr>
      </vt:variant>
      <vt:variant>
        <vt:i4>87</vt:i4>
      </vt:variant>
    </vt:vector>
  </HeadingPairs>
  <TitlesOfParts>
    <vt:vector size="146" baseType="lpstr">
      <vt:lpstr>I. sz. mell.</vt:lpstr>
      <vt:lpstr>1.sz.mell.</vt:lpstr>
      <vt:lpstr>1.1.sz.mell  </vt:lpstr>
      <vt:lpstr>1.2.sz.mell  </vt:lpstr>
      <vt:lpstr>1.3. sz. mell</vt:lpstr>
      <vt:lpstr>1.4. sz. mell</vt:lpstr>
      <vt:lpstr>1.5. sz. mell</vt:lpstr>
      <vt:lpstr>2. sz. mell </vt:lpstr>
      <vt:lpstr>3. sz. mell</vt:lpstr>
      <vt:lpstr>3.1.asz.melléklet</vt:lpstr>
      <vt:lpstr>3.2.sz.melléklet</vt:lpstr>
      <vt:lpstr>4. sz. mell.</vt:lpstr>
      <vt:lpstr>4.1 sz. mell</vt:lpstr>
      <vt:lpstr>4.2. sz. mell</vt:lpstr>
      <vt:lpstr>4.3 sz. mell</vt:lpstr>
      <vt:lpstr>4.4.sz. mell.</vt:lpstr>
      <vt:lpstr>4.5.sz. mell. </vt:lpstr>
      <vt:lpstr>4.6 sz. mell.</vt:lpstr>
      <vt:lpstr>4.7.sz. mell.</vt:lpstr>
      <vt:lpstr>4.8.sz. mell.</vt:lpstr>
      <vt:lpstr>5. sz. mell. </vt:lpstr>
      <vt:lpstr>5.1. sz. mell. </vt:lpstr>
      <vt:lpstr>5.2. sz. mell.  </vt:lpstr>
      <vt:lpstr>5.3 sz. mell</vt:lpstr>
      <vt:lpstr>5.4. sz mell</vt:lpstr>
      <vt:lpstr>5.5. sz. mell.  </vt:lpstr>
      <vt:lpstr>5.6. sz. mell</vt:lpstr>
      <vt:lpstr>5.7. sz. mell.</vt:lpstr>
      <vt:lpstr>5.8. sz. mell.</vt:lpstr>
      <vt:lpstr>5.9. sz. mell. </vt:lpstr>
      <vt:lpstr>5.9.1..sz mell.</vt:lpstr>
      <vt:lpstr>5.10. sz. mell.</vt:lpstr>
      <vt:lpstr>5.10.1..sz mell.</vt:lpstr>
      <vt:lpstr>5.11 sz. mell </vt:lpstr>
      <vt:lpstr>5.11.1. sz. mell.</vt:lpstr>
      <vt:lpstr>6.1.sz.mell. </vt:lpstr>
      <vt:lpstr>6.2.sz.mell.</vt:lpstr>
      <vt:lpstr>7.1. sz mell.</vt:lpstr>
      <vt:lpstr>7.2.. sz mell.</vt:lpstr>
      <vt:lpstr>8.1.sz.mell.</vt:lpstr>
      <vt:lpstr>8.2.sz.mell.</vt:lpstr>
      <vt:lpstr>8.3.sz.mell.</vt:lpstr>
      <vt:lpstr>9. sz. mell</vt:lpstr>
      <vt:lpstr>9.1. sz mell</vt:lpstr>
      <vt:lpstr>10.sz. mell. </vt:lpstr>
      <vt:lpstr>11.sz.mell.</vt:lpstr>
      <vt:lpstr>12. sz. mell.</vt:lpstr>
      <vt:lpstr>13. sz. mell.</vt:lpstr>
      <vt:lpstr>14.sz.mell</vt:lpstr>
      <vt:lpstr>15.sz.mell.</vt:lpstr>
      <vt:lpstr>16. sz. mell.</vt:lpstr>
      <vt:lpstr>Munka1</vt:lpstr>
      <vt:lpstr>Munka2</vt:lpstr>
      <vt:lpstr>.</vt:lpstr>
      <vt:lpstr>..</vt:lpstr>
      <vt:lpstr>...</vt:lpstr>
      <vt:lpstr>.-</vt:lpstr>
      <vt:lpstr>.-.</vt:lpstr>
      <vt:lpstr>,</vt:lpstr>
      <vt:lpstr>','!Nyomtatási_cím</vt:lpstr>
      <vt:lpstr>'.'!Nyomtatási_cím</vt:lpstr>
      <vt:lpstr>'.-'!Nyomtatási_cím</vt:lpstr>
      <vt:lpstr>'..'!Nyomtatási_cím</vt:lpstr>
      <vt:lpstr>'.-.'!Nyomtatási_cím</vt:lpstr>
      <vt:lpstr>'...'!Nyomtatási_cím</vt:lpstr>
      <vt:lpstr>'1.sz.mell.'!Nyomtatási_cím</vt:lpstr>
      <vt:lpstr>'2. sz. mell '!Nyomtatási_cím</vt:lpstr>
      <vt:lpstr>'3. sz. mell'!Nyomtatási_cím</vt:lpstr>
      <vt:lpstr>'3.1.asz.melléklet'!Nyomtatási_cím</vt:lpstr>
      <vt:lpstr>'3.2.sz.melléklet'!Nyomtatási_cím</vt:lpstr>
      <vt:lpstr>'4. sz. mell.'!Nyomtatási_cím</vt:lpstr>
      <vt:lpstr>'4.1 sz. mell'!Nyomtatási_cím</vt:lpstr>
      <vt:lpstr>'4.2. sz. mell'!Nyomtatási_cím</vt:lpstr>
      <vt:lpstr>'4.3 sz. mell'!Nyomtatási_cím</vt:lpstr>
      <vt:lpstr>'4.4.sz. mell.'!Nyomtatási_cím</vt:lpstr>
      <vt:lpstr>'4.5.sz. mell. '!Nyomtatási_cím</vt:lpstr>
      <vt:lpstr>'4.6 sz. mell.'!Nyomtatási_cím</vt:lpstr>
      <vt:lpstr>'4.7.sz. mell.'!Nyomtatási_cím</vt:lpstr>
      <vt:lpstr>'4.8.sz. mell.'!Nyomtatási_cím</vt:lpstr>
      <vt:lpstr>'5. sz. mell. '!Nyomtatási_cím</vt:lpstr>
      <vt:lpstr>'5.1. sz. mell. '!Nyomtatási_cím</vt:lpstr>
      <vt:lpstr>'5.10. sz. mell.'!Nyomtatási_cím</vt:lpstr>
      <vt:lpstr>'5.10.1..sz mell.'!Nyomtatási_cím</vt:lpstr>
      <vt:lpstr>'5.11 sz. mell '!Nyomtatási_cím</vt:lpstr>
      <vt:lpstr>'5.11.1. sz. mell.'!Nyomtatási_cím</vt:lpstr>
      <vt:lpstr>'5.2. sz. mell.  '!Nyomtatási_cím</vt:lpstr>
      <vt:lpstr>'5.3 sz. mell'!Nyomtatási_cím</vt:lpstr>
      <vt:lpstr>'5.4. sz mell'!Nyomtatási_cím</vt:lpstr>
      <vt:lpstr>'5.5. sz. mell.  '!Nyomtatási_cím</vt:lpstr>
      <vt:lpstr>'5.6. sz. mell'!Nyomtatási_cím</vt:lpstr>
      <vt:lpstr>'5.7. sz. mell.'!Nyomtatási_cím</vt:lpstr>
      <vt:lpstr>'5.8. sz. mell.'!Nyomtatási_cím</vt:lpstr>
      <vt:lpstr>'5.9. sz. mell. '!Nyomtatási_cím</vt:lpstr>
      <vt:lpstr>'5.9.1..sz mell.'!Nyomtatási_cím</vt:lpstr>
      <vt:lpstr>'6.2.sz.mell.'!Nyomtatási_cím</vt:lpstr>
      <vt:lpstr>'7.1. sz mell.'!Nyomtatási_cím</vt:lpstr>
      <vt:lpstr>'7.2.. sz mell.'!Nyomtatási_cím</vt:lpstr>
      <vt:lpstr>'9. sz. mell'!Nyomtatási_cím</vt:lpstr>
      <vt:lpstr>'I. sz. mell.'!Nyomtatási_cím</vt:lpstr>
      <vt:lpstr>','!Nyomtatási_terület</vt:lpstr>
      <vt:lpstr>'.'!Nyomtatási_terület</vt:lpstr>
      <vt:lpstr>'.-'!Nyomtatási_terület</vt:lpstr>
      <vt:lpstr>'..'!Nyomtatási_terület</vt:lpstr>
      <vt:lpstr>'.-.'!Nyomtatási_terület</vt:lpstr>
      <vt:lpstr>'...'!Nyomtatási_terület</vt:lpstr>
      <vt:lpstr>'1.1.sz.mell  '!Nyomtatási_terület</vt:lpstr>
      <vt:lpstr>'1.2.sz.mell  '!Nyomtatási_terület</vt:lpstr>
      <vt:lpstr>'1.3. sz. mell'!Nyomtatási_terület</vt:lpstr>
      <vt:lpstr>'1.4. sz. mell'!Nyomtatási_terület</vt:lpstr>
      <vt:lpstr>'1.5. sz. mell'!Nyomtatási_terület</vt:lpstr>
      <vt:lpstr>'1.sz.mell.'!Nyomtatási_terület</vt:lpstr>
      <vt:lpstr>'10.sz. mell. '!Nyomtatási_terület</vt:lpstr>
      <vt:lpstr>'16. sz. mell.'!Nyomtatási_terület</vt:lpstr>
      <vt:lpstr>'2. sz. mell '!Nyomtatási_terület</vt:lpstr>
      <vt:lpstr>'3.1.asz.melléklet'!Nyomtatási_terület</vt:lpstr>
      <vt:lpstr>'3.2.sz.melléklet'!Nyomtatási_terület</vt:lpstr>
      <vt:lpstr>'4. sz. mell.'!Nyomtatási_terület</vt:lpstr>
      <vt:lpstr>'4.1 sz. mell'!Nyomtatási_terület</vt:lpstr>
      <vt:lpstr>'4.2. sz. mell'!Nyomtatási_terület</vt:lpstr>
      <vt:lpstr>'4.3 sz. mell'!Nyomtatási_terület</vt:lpstr>
      <vt:lpstr>'4.4.sz. mell.'!Nyomtatási_terület</vt:lpstr>
      <vt:lpstr>'4.5.sz. mell. '!Nyomtatási_terület</vt:lpstr>
      <vt:lpstr>'4.6 sz. mell.'!Nyomtatási_terület</vt:lpstr>
      <vt:lpstr>'4.7.sz. mell.'!Nyomtatási_terület</vt:lpstr>
      <vt:lpstr>'4.8.sz. mell.'!Nyomtatási_terület</vt:lpstr>
      <vt:lpstr>'5. sz. mell. '!Nyomtatási_terület</vt:lpstr>
      <vt:lpstr>'5.1. sz. mell. '!Nyomtatási_terület</vt:lpstr>
      <vt:lpstr>'5.10. sz. mell.'!Nyomtatási_terület</vt:lpstr>
      <vt:lpstr>'5.10.1..sz mell.'!Nyomtatási_terület</vt:lpstr>
      <vt:lpstr>'5.11 sz. mell '!Nyomtatási_terület</vt:lpstr>
      <vt:lpstr>'5.11.1. sz. mell.'!Nyomtatási_terület</vt:lpstr>
      <vt:lpstr>'5.2. sz. mell.  '!Nyomtatási_terület</vt:lpstr>
      <vt:lpstr>'5.3 sz. mell'!Nyomtatási_terület</vt:lpstr>
      <vt:lpstr>'5.4. sz mell'!Nyomtatási_terület</vt:lpstr>
      <vt:lpstr>'5.5. sz. mell.  '!Nyomtatási_terület</vt:lpstr>
      <vt:lpstr>'5.6. sz. mell'!Nyomtatási_terület</vt:lpstr>
      <vt:lpstr>'5.7. sz. mell.'!Nyomtatási_terület</vt:lpstr>
      <vt:lpstr>'5.8. sz. mell.'!Nyomtatási_terület</vt:lpstr>
      <vt:lpstr>'5.9. sz. mell. '!Nyomtatási_terület</vt:lpstr>
      <vt:lpstr>'5.9.1..sz mell.'!Nyomtatási_terület</vt:lpstr>
      <vt:lpstr>'6.1.sz.mell. '!Nyomtatási_terület</vt:lpstr>
      <vt:lpstr>'6.2.sz.mell.'!Nyomtatási_terület</vt:lpstr>
      <vt:lpstr>'7.1. sz mell.'!Nyomtatási_terület</vt:lpstr>
      <vt:lpstr>'7.2.. sz mell.'!Nyomtatási_terület</vt:lpstr>
      <vt:lpstr>'9. sz. mell'!Nyomtatási_terület</vt:lpstr>
      <vt:lpstr>'I. sz. mell.'!Nyomtatási_terület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2013-02-25T09:01:53Z</cp:lastPrinted>
  <dcterms:created xsi:type="dcterms:W3CDTF">2012-09-04T16:09:39Z</dcterms:created>
  <dcterms:modified xsi:type="dcterms:W3CDTF">2013-03-07T12:25:13Z</dcterms:modified>
</cp:coreProperties>
</file>